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16608" windowHeight="9372" activeTab="0"/>
  </bookViews>
  <sheets>
    <sheet name="Лист1" sheetId="1" r:id="rId1"/>
    <sheet name="Лист3" sheetId="2" state="hidden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<sst xmlns="http://schemas.openxmlformats.org/spreadsheetml/2006/main" count="802" uniqueCount="150">
  <si>
    <t xml:space="preserve">Наименование показателя </t>
  </si>
  <si>
    <t>Единица измерения</t>
  </si>
  <si>
    <t>Формула расчета</t>
  </si>
  <si>
    <t>Объем государственной услуги</t>
  </si>
  <si>
    <t>чел.</t>
  </si>
  <si>
    <t>Источник (и) информации о фактическом значении показателя</t>
  </si>
  <si>
    <t>Характеристика причин отклонения от запланированных значений</t>
  </si>
  <si>
    <t>Критерии оценки выполнения государственного задания</t>
  </si>
  <si>
    <t>М.П.</t>
  </si>
  <si>
    <t>Отчет об исполнении государственного задания на оказание государственной услуги</t>
  </si>
  <si>
    <t xml:space="preserve">по состоянию на </t>
  </si>
  <si>
    <t>года</t>
  </si>
  <si>
    <t>Показатель</t>
  </si>
  <si>
    <t>Общая итоговая</t>
  </si>
  <si>
    <t xml:space="preserve">1. Численность граждан, получивших социальные услуги </t>
  </si>
  <si>
    <t>1.Доля получателей социальных услуг, получающих социальные услуги в рамках заключенных договоров о социальном обслуживании с организацией, от общего числа получателей социальных услуг</t>
  </si>
  <si>
    <t>%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</si>
  <si>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общее кол-во граждан, получивших соц.услуги в учр-ии соц. обслуживания, включая получателей срочных соц.услуг, 
за отчетный период, человек;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кол-во граждан, заключивших договор о соц.обслуживании 
с учр-ем соц/.обслуживания в рамках ИП
за отчетный период, человек. 
</t>
    </r>
  </si>
  <si>
    <t>2. Количество нарушений санитарного и пожарного законодательства в отчетном году, выявленных при проведении проверок</t>
  </si>
  <si>
    <t>единицы</t>
  </si>
  <si>
    <t>3.Удовлетворенность получателей социальных услуг в оказанных социальных услугах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</si>
  <si>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общая численность получателей соц. услуг в учр-ии, ответивших на вопрос о качестве в рамках ежегодного опроса «Декада качества», человек.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численность получателей соц. услуг в учр-ии, ответивших на вопрос о качестве в рамках ежегодного опроса «Декада качества «положительно», человек.</t>
    </r>
  </si>
  <si>
    <t>4. Укомплектование организации специалистами, оказывающими социальные услуги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</si>
  <si>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общее кол-во штат.единиц основного профиля на отчетную дату, единиц.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кол-во замещенных (занятых) штат. единиц специалистов основного профиля на отчетную дату, единиц.</t>
    </r>
  </si>
  <si>
    <t>5. Доступность получения социальных услуг в организации</t>
  </si>
  <si>
    <t>согласно приложению</t>
  </si>
  <si>
    <t>2.Удовлетворенность получателей социальных услуг в оказанных социальных услугах</t>
  </si>
  <si>
    <t>3. Укомплектование организации специалистами, оказывающими социальные услуги</t>
  </si>
  <si>
    <t>код</t>
  </si>
  <si>
    <t>22.045.0</t>
  </si>
  <si>
    <t>Кi</t>
  </si>
  <si>
    <t>К</t>
  </si>
  <si>
    <t>Кпл
i</t>
  </si>
  <si>
    <t>Кф
i</t>
  </si>
  <si>
    <t>Показатель качества государственной услуги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</si>
  <si>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</si>
  <si>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0 нарушений - 100%, менее 5 нарушений - 90%, более 5 нарушений - 89%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</si>
  <si>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</si>
  <si>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
лицам,страдающим психическими расстройствами, наличие насилия в семье</t>
  </si>
  <si>
    <t>Гражданин при отсутствии работы и средств к существованию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</si>
  <si>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жизнедеятельности</t>
  </si>
  <si>
    <t>22.046.0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</si>
  <si>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
 лицам, страдающим психическими расстройствами, наличие насилия в семье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</si>
  <si>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</si>
  <si>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22.047.0</t>
  </si>
  <si>
    <r>
      <t>Предоставление социального обслуживания в форме социального обслуживания</t>
    </r>
    <r>
      <rPr>
        <b/>
        <sz val="12"/>
        <color indexed="10"/>
        <rFont val="Times New Roman"/>
        <family val="1"/>
      </rPr>
      <t xml:space="preserve"> на дому </t>
    </r>
    <r>
      <rPr>
        <b/>
        <sz val="12"/>
        <rFont val="Times New Roman"/>
        <family val="1"/>
      </rPr>
      <t>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</t>
    </r>
  </si>
  <si>
    <t xml:space="preserve">В/А*100, где: 
А – общее кол-во граждан, получивших соц.услуги в учр-ии соц. обслуживания, включая получателей срочных соц.услуг, 
за отчетный период, человек;
В – кол-во граждан, заключивших договор о соц.обслуживании 
с учр-ем соц/.обслуживания в рамках ИП
за отчетный период, человек. 
</t>
  </si>
  <si>
    <t>В/А*100, где: 
А – общая численность получателей соц. услуг в учр-ии, ответивших на вопрос о качестве в рамках ежегодного опроса «Декада качества», человек.
В – численность получателей соц. услуг в учр-ии, ответивших на вопрос о качестве в рамках ежегодного опроса «Декада качества «положительно», человек.</t>
  </si>
  <si>
    <t>В/А*100, где: 
А – общее кол-во штат.единиц основного профиля на отчетную дату, единиц.
В – кол-во замещенных (занятых) штат. единиц специалистов основного профиля на отчетную дату, единиц.</t>
  </si>
  <si>
    <t>22.042.0</t>
  </si>
  <si>
    <t>22.043.0</t>
  </si>
  <si>
    <r>
      <t xml:space="preserve">Предоставление социального обслуживания в форме социального обслуживания </t>
    </r>
    <r>
      <rPr>
        <b/>
        <sz val="12"/>
        <color indexed="10"/>
        <rFont val="Times New Roman"/>
        <family val="1"/>
      </rPr>
      <t xml:space="preserve">на дому </t>
    </r>
    <r>
      <rPr>
        <b/>
        <sz val="12"/>
        <rFont val="Times New Roman"/>
        <family val="1"/>
      </rPr>
      <t>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том числе детей-инвалидов, срочных социальных услуг</t>
    </r>
  </si>
  <si>
    <t>1_1</t>
  </si>
  <si>
    <t>1_2</t>
  </si>
  <si>
    <t>1_3</t>
  </si>
  <si>
    <t>1_4</t>
  </si>
  <si>
    <t>1_5</t>
  </si>
  <si>
    <t>2_1</t>
  </si>
  <si>
    <t>2_2</t>
  </si>
  <si>
    <t>2_3</t>
  </si>
  <si>
    <t>2_4</t>
  </si>
  <si>
    <t>2_5</t>
  </si>
  <si>
    <t>2_6</t>
  </si>
  <si>
    <t>3_1</t>
  </si>
  <si>
    <t>3_2</t>
  </si>
  <si>
    <t>3_3</t>
  </si>
  <si>
    <t>3_4</t>
  </si>
  <si>
    <t>3_5</t>
  </si>
  <si>
    <t>4_1</t>
  </si>
  <si>
    <t>5_1</t>
  </si>
  <si>
    <t>КГБУ СО «Центр социальной помощи семье и детям «Енисейский»</t>
  </si>
  <si>
    <t>КГБУ СО «Центр социальной помощи семье и детям «Иланский»</t>
  </si>
  <si>
    <t>КГБУ СО "Центр социальной помощи семье и детям "Ачинский"</t>
  </si>
  <si>
    <t>КГБУ СО "Центр социальной помощи семье и детям "Березовский"</t>
  </si>
  <si>
    <t>КГБУ СО "Центр социальной помощи семье и детям "Бирилюсский"</t>
  </si>
  <si>
    <t>КГБУ СО "Центр социальной помощи семье и детям "Богучанский"</t>
  </si>
  <si>
    <t>КГБУ СО "Центр социальной помощи семье и детям "Дзержинский"</t>
  </si>
  <si>
    <t>КГБУ СО "Центр социальной помощи семье и детям "Дивногорский"</t>
  </si>
  <si>
    <t>КГБУ СО "Центр социальной помощи семье и детям "Ермаковский"</t>
  </si>
  <si>
    <t>КГБУ СО "Центр социальной помощи семье и детям "Зеленогорский"</t>
  </si>
  <si>
    <t>КГБУ СО "Центр социальной помощи семье и детям "Канский"</t>
  </si>
  <si>
    <t>КГБУ СО "Центр социальной помощи семье и детям "Лесосибирский"</t>
  </si>
  <si>
    <t>КГБУ СО "Центр социальной помощи семье и детям "Минусинский"</t>
  </si>
  <si>
    <t>КГБУ СО "Центр социальной помощи семье и детям "Приморский"</t>
  </si>
  <si>
    <t>КГБУ СО "Центр социальной помощи семье и детям "Рыбинский"</t>
  </si>
  <si>
    <t>КГБУ СО "Центр социальной помощи семье и детям "Сухобузимский"</t>
  </si>
  <si>
    <t>КГБУ СО "Центр социальной помощи семье и детям "Ужурский"</t>
  </si>
  <si>
    <t>КГБУ СО "Центр социальной помощи семье и детям "Шарыповский"</t>
  </si>
  <si>
    <t xml:space="preserve">Руководитель
учреждения </t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</si>
  <si>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</rPr>
      <t>в стационарной форме,</t>
    </r>
    <r>
      <rPr>
        <b/>
        <sz val="12"/>
        <rFont val="Times New Roman"/>
        <family val="1"/>
      </rPr>
      <t xml:space="preserve">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том числе детей-инвалидов</t>
    </r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</si>
  <si>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</rPr>
      <t>в полустационарной форме</t>
    </r>
    <r>
      <rPr>
        <b/>
        <sz val="12"/>
        <rFont val="Times New Roman"/>
        <family val="1"/>
      </rPr>
      <t xml:space="preserve">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</t>
    </r>
  </si>
  <si>
    <r>
      <t>Предоставление социального обслуживания</t>
    </r>
    <r>
      <rPr>
        <b/>
        <sz val="12"/>
        <color indexed="10"/>
        <rFont val="Times New Roman"/>
        <family val="1"/>
      </rPr>
      <t xml:space="preserve"> в полустационарной форме </t>
    </r>
    <r>
      <rPr>
        <b/>
        <sz val="12"/>
        <rFont val="Times New Roman"/>
        <family val="1"/>
      </rPr>
      <t>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
в т.ч. детей-инвалидов, срочных социальных услуг</t>
    </r>
  </si>
  <si>
    <r>
      <t>Предоставление социального обслуживания в форме социального обслуживания</t>
    </r>
    <r>
      <rPr>
        <b/>
        <sz val="12"/>
        <color indexed="10"/>
        <rFont val="Times New Roman"/>
        <family val="1"/>
      </rPr>
      <t xml:space="preserve"> на дому</t>
    </r>
    <r>
      <rPr>
        <b/>
        <sz val="12"/>
        <rFont val="Times New Roman"/>
        <family val="1"/>
      </rPr>
      <t xml:space="preserve">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</si>
  <si>
    <r>
      <t>Предоставление социального обслуживания</t>
    </r>
    <r>
      <rPr>
        <b/>
        <sz val="12"/>
        <color indexed="10"/>
        <rFont val="Times New Roman"/>
        <family val="1"/>
      </rPr>
      <t xml:space="preserve"> в стационарной форме</t>
    </r>
    <r>
      <rPr>
        <b/>
        <sz val="12"/>
        <rFont val="Times New Roman"/>
        <family val="1"/>
      </rPr>
      <t>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  </r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</si>
  <si>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</rPr>
      <t>в полустационарной форме</t>
    </r>
    <r>
      <rPr>
        <b/>
        <sz val="12"/>
        <rFont val="Times New Roman"/>
        <family val="1"/>
      </rPr>
      <t xml:space="preserve">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
в т.ч. детей-инвалидов, срочных социальных услуг</t>
    </r>
  </si>
  <si>
    <t>ГОДОВЫЕ</t>
  </si>
  <si>
    <t>22.045</t>
  </si>
  <si>
    <t>22.046</t>
  </si>
  <si>
    <t>22.047</t>
  </si>
  <si>
    <t>22.042</t>
  </si>
  <si>
    <t>22.043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</si>
  <si>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</si>
  <si>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</si>
  <si>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
лицам, страдающим психическими расстройствами, наличие насилия в семье</t>
  </si>
  <si>
    <t>2_7</t>
  </si>
  <si>
    <t>2_8</t>
  </si>
  <si>
    <t>3_6</t>
  </si>
  <si>
    <t>3_7</t>
  </si>
  <si>
    <t xml:space="preserve">отклонений нет </t>
  </si>
  <si>
    <t xml:space="preserve">информация учреждения </t>
  </si>
  <si>
    <t xml:space="preserve">Регистр получателей социальных услуг </t>
  </si>
  <si>
    <t xml:space="preserve">Акты проверок (предписаний) надзорных органовы </t>
  </si>
  <si>
    <t xml:space="preserve">Результаты опроса получателей социальных услуг </t>
  </si>
  <si>
    <t>штатное расписание учреждения. Среднесписочная численность сотрудников</t>
  </si>
  <si>
    <t xml:space="preserve">регистр получателей социальных услуг </t>
  </si>
  <si>
    <t xml:space="preserve">результаты опроса получателей социальных услуг </t>
  </si>
  <si>
    <t xml:space="preserve">штатное распитание. Среднесписочная численность сотрудников </t>
  </si>
  <si>
    <t>отклонений нет</t>
  </si>
  <si>
    <t>Светлана Сергеевна Зарецкая</t>
  </si>
  <si>
    <t xml:space="preserve">01 января </t>
  </si>
  <si>
    <t>Журнал регистрации договоров. Регистр получателей социальных услуг, приказы о постановке на социальное обслуживание.</t>
  </si>
  <si>
    <t>Итоги опроса в рамках "Декады качества".</t>
  </si>
  <si>
    <t>В опросе по "Декаде качества оказания социальных услуг в учреждении" приняло участие 124 ПСУ, из них124 ПСУ удовлетворены качеством оказания социальных услуг.</t>
  </si>
  <si>
    <t>Общее количество шт. ед. основного профиля 20  Факт. замещено 18</t>
  </si>
  <si>
    <t>Доступность обеспечена по 5 критериям из 10 предложеных, (5 баллов /10баллов *100=50%</t>
  </si>
  <si>
    <t>Количество нарушений санитарного и пожарного законодательства за очтетный период отсутствует</t>
  </si>
  <si>
    <t>Отсутствует доступ к информации: -дублирование текстовых сообщений голосовыми сообщениями; - дублирование голосовой информации текстовой информацией надписями и или световыми сигналами; -оснащение знаками Брайля; - информирование о предоставляеммых соц.услугах с использованием русского жестового языка (сурдоперевода).</t>
  </si>
  <si>
    <t xml:space="preserve"> Причин отклонения от запланированных значений нет       </t>
  </si>
  <si>
    <t>Отклонения от запланированных значений нет. Общее кол-во штат.единиц основного профиля на отчетную дату, единиц А=20; кол-во замещенных (занятых) штат. единиц специалистов основного профиля на отчетную дату, единиц В=18; 18/20*100=90</t>
  </si>
  <si>
    <t>Справка об укомплектованности учреждения работниками основного профиля (приложение к отчету о выполнении госзадания)</t>
  </si>
  <si>
    <t>Общая численность ПСУ в учрежденни, ответивших на вопрос о качестве в рамках ежегодного опроса "Декада качества", А=124; численность ПСУ в учреждении, ответивших на вопрос о качестве в рамках ежегодного опроса "Декада качества "положительно", В=124; 124/124*100=100</t>
  </si>
  <si>
    <t>4//5*100=80 Обслужено 5 ПСУ, заключено договоров 4</t>
  </si>
  <si>
    <t>Общее количество шт. ед. основного профиля 20  Факт. замещено 18.    18/20*100=90%</t>
  </si>
  <si>
    <t>20//20*100=100 Обслужено 20 ПСУ, заключено договоров 20</t>
  </si>
  <si>
    <t>16//16*100=100 Обслужено 16 ПСУ, заключено договоров 16</t>
  </si>
  <si>
    <t>8//8*100=100 Обслужено 8 ПСУ, заключено договоров 8</t>
  </si>
  <si>
    <t>34//35*100=97 Обслужено 35 ПСУ, заключено договоров 34</t>
  </si>
  <si>
    <t>64//65*100=98  Обслужено 65 ПСУ, заключено договоров 64</t>
  </si>
  <si>
    <t>454//492*100=92 Обслужено 492 ПСУ, заключено договоров 454</t>
  </si>
  <si>
    <t>83//91*100=91 Обслужено 91 ПСУ, заключено договоров 83</t>
  </si>
  <si>
    <t>2//2*100=2 Обслужено 2 ПСУ, заключено договоров 2</t>
  </si>
  <si>
    <t>154//155*100=  99 Обслужено 155 ПСУ, заключено договоров 154</t>
  </si>
  <si>
    <t>190//190*100=  100 Обслужено 190 ПСУ, заключено договоров 190</t>
  </si>
  <si>
    <t>4//4*100=  100 Обслужено 4 ПСУ, заключено договоров 4</t>
  </si>
  <si>
    <t>2//2*100=  100 Обслужено 2 ПСУ, заключено договоров 2</t>
  </si>
  <si>
    <t>2//3*100=  66 Обслужено 3 ПСУ, заключено договоров 2</t>
  </si>
  <si>
    <t>2//2*100=100 Обслужено 2 ПСУ, заключено договоров 2</t>
  </si>
  <si>
    <t>1//1*100=100 Обслужено 1 ПСУ, заключено договоров 1</t>
  </si>
  <si>
    <t xml:space="preserve">Предписание Управления Федеральной службы по надзору в сфере защиты прав потребителей и благополучия человека по Красноярскому краю от 30 августа  2018 г. № 1749  </t>
  </si>
  <si>
    <t>4 нарушения режимного характера, из них 3 устранено на  отчетную дату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</si>
</sst>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;0;&quot;&quot;"/>
    <numFmt numFmtId="186" formatCode="0.00;0.00;&quot;&quot;"/>
    <numFmt numFmtId="187" formatCode="0.0;0.0;&quot;&quot;"/>
  </numFmts>
  <fonts count="6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Courier"/>
      <family val="3"/>
    </font>
    <font>
      <b/>
      <sz val="10"/>
      <color indexed="10"/>
      <name val="Courier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1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32" borderId="11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184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8" fillId="33" borderId="10" xfId="0" applyFont="1" applyFill="1" applyBorder="1" applyAlignment="1" applyProtection="1">
      <alignment vertical="top" wrapText="1"/>
      <protection/>
    </xf>
    <xf numFmtId="184" fontId="1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32" borderId="1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7" fillId="0" borderId="0" xfId="0" applyFont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84" fontId="1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3" xfId="0" applyFont="1" applyFill="1" applyBorder="1" applyAlignment="1" applyProtection="1">
      <alignment horizontal="center" vertical="center" wrapText="1"/>
      <protection locked="0"/>
    </xf>
    <xf numFmtId="184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32" borderId="14" xfId="0" applyFont="1" applyFill="1" applyBorder="1" applyAlignment="1" applyProtection="1">
      <alignment horizontal="center" vertical="center" wrapText="1"/>
      <protection locked="0"/>
    </xf>
    <xf numFmtId="0" fontId="8" fillId="32" borderId="14" xfId="0" applyFont="1" applyFill="1" applyBorder="1" applyAlignment="1" applyProtection="1">
      <alignment horizontal="center" vertical="center" wrapText="1"/>
      <protection locked="0"/>
    </xf>
    <xf numFmtId="184" fontId="5" fillId="0" borderId="14" xfId="0" applyNumberFormat="1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vertical="center"/>
      <protection/>
    </xf>
    <xf numFmtId="184" fontId="1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0" fontId="18" fillId="33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84" fontId="5" fillId="0" borderId="13" xfId="0" applyNumberFormat="1" applyFont="1" applyBorder="1" applyAlignment="1" applyProtection="1">
      <alignment horizontal="center" vertical="center" wrapText="1"/>
      <protection/>
    </xf>
    <xf numFmtId="184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9" fillId="0" borderId="15" xfId="0" applyFont="1" applyBorder="1" applyAlignment="1" applyProtection="1">
      <alignment horizontal="center" vertical="center" wrapText="1"/>
      <protection/>
    </xf>
    <xf numFmtId="184" fontId="58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184" fontId="0" fillId="0" borderId="0" xfId="0" applyNumberFormat="1" applyAlignment="1" applyProtection="1">
      <alignment/>
      <protection/>
    </xf>
    <xf numFmtId="187" fontId="60" fillId="0" borderId="23" xfId="0" applyNumberFormat="1" applyFont="1" applyBorder="1" applyAlignment="1" applyProtection="1">
      <alignment horizontal="center" vertical="center" wrapText="1"/>
      <protection/>
    </xf>
    <xf numFmtId="187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61" fillId="35" borderId="24" xfId="0" applyFont="1" applyFill="1" applyBorder="1" applyAlignment="1" applyProtection="1">
      <alignment horizontal="center" vertical="center" wrapText="1"/>
      <protection/>
    </xf>
    <xf numFmtId="0" fontId="61" fillId="35" borderId="25" xfId="0" applyFont="1" applyFill="1" applyBorder="1" applyAlignment="1" applyProtection="1">
      <alignment horizontal="center" vertical="center" wrapText="1"/>
      <protection/>
    </xf>
    <xf numFmtId="0" fontId="61" fillId="35" borderId="26" xfId="0" applyFont="1" applyFill="1" applyBorder="1" applyAlignment="1" applyProtection="1">
      <alignment horizontal="center" vertical="center" wrapText="1"/>
      <protection/>
    </xf>
    <xf numFmtId="184" fontId="14" fillId="0" borderId="27" xfId="0" applyNumberFormat="1" applyFont="1" applyBorder="1" applyAlignment="1" applyProtection="1">
      <alignment horizontal="center" vertical="center" wrapText="1"/>
      <protection/>
    </xf>
    <xf numFmtId="184" fontId="14" fillId="0" borderId="28" xfId="0" applyNumberFormat="1" applyFont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 applyProtection="1">
      <alignment horizontal="left" vertical="center" wrapText="1"/>
      <protection/>
    </xf>
    <xf numFmtId="0" fontId="5" fillId="0" borderId="3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vertical="center"/>
      <protection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="57" zoomScaleNormal="57" zoomScalePageLayoutView="0" workbookViewId="0" topLeftCell="B1">
      <selection activeCell="I10" sqref="I10"/>
    </sheetView>
  </sheetViews>
  <sheetFormatPr defaultColWidth="9.125" defaultRowHeight="12.75"/>
  <cols>
    <col min="1" max="1" width="19.50390625" style="14" customWidth="1"/>
    <col min="2" max="2" width="70.875" style="14" customWidth="1"/>
    <col min="3" max="3" width="10.125" style="14" customWidth="1"/>
    <col min="4" max="4" width="73.375" style="14" customWidth="1"/>
    <col min="5" max="6" width="6.50390625" style="14" customWidth="1"/>
    <col min="7" max="7" width="15.875" style="14" customWidth="1"/>
    <col min="8" max="8" width="26.50390625" style="14" customWidth="1"/>
    <col min="9" max="9" width="7.625" style="14" customWidth="1"/>
    <col min="10" max="10" width="21.125" style="52" customWidth="1"/>
    <col min="11" max="11" width="23.50390625" style="63" customWidth="1"/>
    <col min="12" max="14" width="9.125" style="14" customWidth="1"/>
    <col min="15" max="16384" width="9.125" style="14" customWidth="1"/>
  </cols>
  <sheetData>
    <row r="1" spans="1:16" ht="30.75" customHeight="1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8"/>
      <c r="M1" s="8"/>
      <c r="N1" s="8"/>
      <c r="O1" s="5"/>
      <c r="P1" s="5"/>
    </row>
    <row r="2" spans="1:14" ht="11.25" customHeight="1">
      <c r="A2" s="2"/>
      <c r="B2" s="2"/>
      <c r="C2" s="2"/>
      <c r="D2" s="2"/>
      <c r="E2" s="2"/>
      <c r="F2" s="2"/>
      <c r="G2" s="2"/>
      <c r="H2" s="2"/>
      <c r="I2" s="2"/>
      <c r="J2" s="29"/>
      <c r="K2" s="29"/>
      <c r="L2" s="8"/>
      <c r="M2" s="8"/>
      <c r="N2" s="8"/>
    </row>
    <row r="3" spans="1:11" ht="15">
      <c r="A3" s="25"/>
      <c r="B3" s="109" t="s">
        <v>10</v>
      </c>
      <c r="C3" s="109"/>
      <c r="D3" s="26" t="s">
        <v>119</v>
      </c>
      <c r="E3" s="3">
        <v>20</v>
      </c>
      <c r="F3" s="4">
        <v>19</v>
      </c>
      <c r="G3" s="110" t="s">
        <v>11</v>
      </c>
      <c r="H3" s="110"/>
      <c r="I3" s="110"/>
      <c r="J3" s="110"/>
      <c r="K3" s="59"/>
    </row>
    <row r="4" spans="4:11" ht="15">
      <c r="D4" s="28"/>
      <c r="E4" s="28"/>
      <c r="F4" s="27"/>
      <c r="G4" s="27"/>
      <c r="H4" s="27"/>
      <c r="I4" s="27"/>
      <c r="J4" s="55"/>
      <c r="K4" s="60"/>
    </row>
    <row r="5" spans="1:11" ht="26.25" customHeight="1">
      <c r="A5" s="108" t="s">
        <v>86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2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5" ht="20.25" customHeight="1">
      <c r="A7" s="102" t="s">
        <v>29</v>
      </c>
      <c r="B7" s="100" t="s">
        <v>89</v>
      </c>
      <c r="C7" s="100"/>
      <c r="D7" s="100"/>
      <c r="E7" s="100"/>
      <c r="F7" s="100"/>
      <c r="G7" s="100"/>
      <c r="H7" s="100"/>
      <c r="I7" s="100"/>
      <c r="J7" s="100"/>
      <c r="K7" s="77">
        <f>(K12+K19+K26+K33+K40)/(COUNTIF(K12,"&gt;0")+COUNTIF(K19,"&gt;0")+COUNTIF(K26,"&gt;0")+COUNTIF(K33,"&gt;0")+COUNTIF(K40,"&gt;0"))</f>
        <v>102.23333333333333</v>
      </c>
      <c r="L7" s="8"/>
      <c r="M7" s="8"/>
      <c r="N7" s="8"/>
      <c r="O7" s="8"/>
    </row>
    <row r="8" spans="1:15" ht="42" customHeight="1">
      <c r="A8" s="103"/>
      <c r="B8" s="101"/>
      <c r="C8" s="101"/>
      <c r="D8" s="101"/>
      <c r="E8" s="101"/>
      <c r="F8" s="101"/>
      <c r="G8" s="101"/>
      <c r="H8" s="101"/>
      <c r="I8" s="101"/>
      <c r="J8" s="101"/>
      <c r="K8" s="78" t="str">
        <f>IF(K7&gt;=100,"Гос.задание по гос.услуге выполнено",IF(K7&gt;=90,"Гос.задание по гос.услуге в целом выполнено",IF(K7&lt;90,"Гос.задание по гос.услуге не выполнено")))</f>
        <v>Гос.задание по гос.услуге выполнено</v>
      </c>
      <c r="L8" s="8"/>
      <c r="M8" s="8"/>
      <c r="N8" s="8"/>
      <c r="O8" s="8"/>
    </row>
    <row r="9" spans="1:11" ht="75" customHeight="1">
      <c r="A9" s="104" t="s">
        <v>7</v>
      </c>
      <c r="B9" s="1" t="s">
        <v>0</v>
      </c>
      <c r="C9" s="1" t="s">
        <v>1</v>
      </c>
      <c r="D9" s="1" t="s">
        <v>2</v>
      </c>
      <c r="E9" s="1" t="s">
        <v>32</v>
      </c>
      <c r="F9" s="1" t="s">
        <v>33</v>
      </c>
      <c r="G9" s="1" t="s">
        <v>6</v>
      </c>
      <c r="H9" s="1" t="s">
        <v>5</v>
      </c>
      <c r="I9" s="1" t="s">
        <v>30</v>
      </c>
      <c r="J9" s="1" t="s">
        <v>31</v>
      </c>
      <c r="K9" s="30" t="s">
        <v>13</v>
      </c>
    </row>
    <row r="10" spans="1:11" ht="18" customHeight="1" thickBot="1">
      <c r="A10" s="105"/>
      <c r="B10" s="31">
        <v>1</v>
      </c>
      <c r="C10" s="31">
        <v>2</v>
      </c>
      <c r="D10" s="31">
        <v>3</v>
      </c>
      <c r="E10" s="31">
        <v>4</v>
      </c>
      <c r="F10" s="31">
        <v>5</v>
      </c>
      <c r="G10" s="31">
        <v>6</v>
      </c>
      <c r="H10" s="31">
        <v>7</v>
      </c>
      <c r="I10" s="31">
        <v>8</v>
      </c>
      <c r="J10" s="24">
        <v>9</v>
      </c>
      <c r="K10" s="21">
        <v>10</v>
      </c>
    </row>
    <row r="11" spans="1:15" ht="30.75" customHeight="1">
      <c r="A11" s="89" t="s">
        <v>35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  <c r="N11" s="86"/>
      <c r="O11" s="86"/>
    </row>
    <row r="12" spans="1:11" ht="77.25" customHeight="1">
      <c r="A12" s="92" t="s">
        <v>34</v>
      </c>
      <c r="B12" s="33" t="s">
        <v>15</v>
      </c>
      <c r="C12" s="34" t="s">
        <v>16</v>
      </c>
      <c r="D12" s="35" t="s">
        <v>17</v>
      </c>
      <c r="E12" s="36">
        <v>80</v>
      </c>
      <c r="F12" s="37">
        <v>80</v>
      </c>
      <c r="G12" s="38" t="s">
        <v>131</v>
      </c>
      <c r="H12" s="38" t="s">
        <v>120</v>
      </c>
      <c r="I12" s="39">
        <f>IF(F12/E12*100&gt;100,100,F12/E12*100)</f>
        <v>100</v>
      </c>
      <c r="J12" s="76">
        <f>IF(E17=0,"",(I12+I13+I14+I15+I16)/5)</f>
        <v>94.46666666666667</v>
      </c>
      <c r="K12" s="87">
        <f>IF(E17&gt;0,(J12+J17)/2,0)</f>
        <v>102.23333333333333</v>
      </c>
    </row>
    <row r="13" spans="1:11" ht="57" customHeight="1">
      <c r="A13" s="93"/>
      <c r="B13" s="9" t="s">
        <v>18</v>
      </c>
      <c r="C13" s="10" t="s">
        <v>19</v>
      </c>
      <c r="D13" s="12" t="s">
        <v>36</v>
      </c>
      <c r="E13" s="11">
        <v>0</v>
      </c>
      <c r="F13" s="13">
        <v>90</v>
      </c>
      <c r="G13" s="38" t="s">
        <v>149</v>
      </c>
      <c r="H13" s="6" t="s">
        <v>148</v>
      </c>
      <c r="I13" s="20">
        <f>IF(F13=0,100,IF(F13&gt;5,89,90))</f>
        <v>89</v>
      </c>
      <c r="J13" s="32" t="str">
        <f>IF(E17=0,"",IF(J12&gt;=100,"Гос.задание по гос.услуге выполнено в полном объеме",IF(J12&gt;=90,"Гос.задание по гос.услуге выполнено",IF(J12&lt;90,"Гос.задание по гос.услуге не выполнено"))))</f>
        <v>Гос.задание по гос.услуге выполнено</v>
      </c>
      <c r="K13" s="79" t="str">
        <f>IF(E17=0,"",IF(K12&gt;=100,"Гос.задание по гос.услуге выполнено в полном объеме",IF(K12&gt;=90,"Гос.задание по гос.услуге выполнено",IF(K12&lt;90,"Гос.задание по гос.услуге не выполнено"))))</f>
        <v>Гос.задание по гос.услуге выполнено в полном объеме</v>
      </c>
    </row>
    <row r="14" spans="1:11" ht="69" customHeight="1">
      <c r="A14" s="93"/>
      <c r="B14" s="9" t="s">
        <v>20</v>
      </c>
      <c r="C14" s="10" t="s">
        <v>16</v>
      </c>
      <c r="D14" s="12" t="s">
        <v>21</v>
      </c>
      <c r="E14" s="11">
        <v>90</v>
      </c>
      <c r="F14" s="7">
        <v>90</v>
      </c>
      <c r="G14" s="38" t="s">
        <v>122</v>
      </c>
      <c r="H14" s="6" t="s">
        <v>121</v>
      </c>
      <c r="I14" s="20">
        <f>IF(F14/E14*100&gt;100,100,F14/E14*100)</f>
        <v>100</v>
      </c>
      <c r="J14" s="57"/>
      <c r="K14" s="56"/>
    </row>
    <row r="15" spans="1:11" ht="54" customHeight="1">
      <c r="A15" s="93"/>
      <c r="B15" s="9" t="s">
        <v>22</v>
      </c>
      <c r="C15" s="10" t="s">
        <v>16</v>
      </c>
      <c r="D15" s="12" t="s">
        <v>23</v>
      </c>
      <c r="E15" s="11">
        <v>90</v>
      </c>
      <c r="F15" s="7">
        <v>90</v>
      </c>
      <c r="G15" s="38" t="s">
        <v>108</v>
      </c>
      <c r="H15" s="6" t="s">
        <v>132</v>
      </c>
      <c r="I15" s="20">
        <f>IF(F15/E15*100&gt;100,100,F15/E15*100)</f>
        <v>100</v>
      </c>
      <c r="J15" s="57"/>
      <c r="K15" s="56"/>
    </row>
    <row r="16" spans="1:11" ht="19.5" customHeight="1">
      <c r="A16" s="93"/>
      <c r="B16" s="9" t="s">
        <v>24</v>
      </c>
      <c r="C16" s="10" t="s">
        <v>16</v>
      </c>
      <c r="D16" s="12" t="s">
        <v>25</v>
      </c>
      <c r="E16" s="11">
        <v>60</v>
      </c>
      <c r="F16" s="7">
        <v>50</v>
      </c>
      <c r="G16" s="38" t="s">
        <v>126</v>
      </c>
      <c r="H16" s="6" t="s">
        <v>124</v>
      </c>
      <c r="I16" s="20">
        <f>IF(F16/E16*100&gt;100,100,F16/E16*100)</f>
        <v>83.33333333333334</v>
      </c>
      <c r="J16" s="57"/>
      <c r="K16" s="56"/>
    </row>
    <row r="17" spans="1:11" ht="49.5" customHeight="1" thickBot="1">
      <c r="A17" s="64" t="s">
        <v>3</v>
      </c>
      <c r="B17" s="40" t="s">
        <v>14</v>
      </c>
      <c r="C17" s="41" t="s">
        <v>4</v>
      </c>
      <c r="D17" s="41"/>
      <c r="E17" s="41">
        <f>VLOOKUP(A5,$B$191:$Y$207,3)</f>
        <v>3</v>
      </c>
      <c r="F17" s="42">
        <v>5</v>
      </c>
      <c r="G17" s="38" t="s">
        <v>127</v>
      </c>
      <c r="H17" s="38" t="s">
        <v>120</v>
      </c>
      <c r="I17" s="53">
        <f>IF(E17=0,0,IF(F17/E17*100&gt;110,110,F17/E17*100))</f>
        <v>110</v>
      </c>
      <c r="J17" s="44">
        <f>IF(E17=0,"",I17)</f>
        <v>110</v>
      </c>
      <c r="K17" s="61" t="str">
        <f>IF(E17=0,"",IF(J17&gt;=100,"Гос.задание по гос.услуге выполнено в полном объеме",IF(J17&gt;=90,"Гос.задание по гос.услуге выполнено",IF(J17&lt;90,"Гос.задание по гос.услуге не выполнено"))))</f>
        <v>Гос.задание по гос.услуге выполнено в полном объеме</v>
      </c>
    </row>
    <row r="18" spans="1:11" ht="30.75" customHeight="1">
      <c r="A18" s="89" t="s">
        <v>37</v>
      </c>
      <c r="B18" s="90"/>
      <c r="C18" s="90"/>
      <c r="D18" s="90"/>
      <c r="E18" s="90"/>
      <c r="F18" s="90"/>
      <c r="G18" s="90"/>
      <c r="H18" s="90"/>
      <c r="I18" s="90"/>
      <c r="J18" s="90"/>
      <c r="K18" s="91"/>
    </row>
    <row r="19" spans="1:11" ht="77.25" customHeight="1">
      <c r="A19" s="92" t="s">
        <v>34</v>
      </c>
      <c r="B19" s="33" t="s">
        <v>15</v>
      </c>
      <c r="C19" s="34" t="s">
        <v>16</v>
      </c>
      <c r="D19" s="35" t="s">
        <v>17</v>
      </c>
      <c r="E19" s="36">
        <v>80</v>
      </c>
      <c r="F19" s="37">
        <v>80</v>
      </c>
      <c r="G19" s="38" t="s">
        <v>133</v>
      </c>
      <c r="H19" s="38" t="s">
        <v>120</v>
      </c>
      <c r="I19" s="39">
        <f>IF(F19/E19*100&gt;100,100,F19/E19*100)</f>
        <v>100</v>
      </c>
      <c r="J19" s="76">
        <f>IF(E24=0,"",(I19+I20+I21+I22+I23)/5)</f>
        <v>94.46666666666667</v>
      </c>
      <c r="K19" s="87">
        <f>IF(E24&gt;0,(J19+J24)/2,0)</f>
        <v>102.23333333333333</v>
      </c>
    </row>
    <row r="20" spans="1:11" ht="45" customHeight="1">
      <c r="A20" s="93"/>
      <c r="B20" s="9" t="s">
        <v>18</v>
      </c>
      <c r="C20" s="10" t="s">
        <v>19</v>
      </c>
      <c r="D20" s="12" t="s">
        <v>36</v>
      </c>
      <c r="E20" s="11">
        <v>0</v>
      </c>
      <c r="F20" s="13">
        <v>100</v>
      </c>
      <c r="G20" s="38" t="s">
        <v>149</v>
      </c>
      <c r="H20" s="6" t="s">
        <v>148</v>
      </c>
      <c r="I20" s="20">
        <f>IF(F20=0,100,IF(F20&gt;5,89,90))</f>
        <v>89</v>
      </c>
      <c r="J20" s="32" t="str">
        <f>IF(E24=0,"",IF(J19&gt;=100,"Гос.задание по гос.услуге выполнено в полном объеме",IF(J19&gt;=90,"Гос.задание по гос.услуге выполнено",IF(J19&lt;90,"Гос.задание по гос.услуге не выполнено"))))</f>
        <v>Гос.задание по гос.услуге выполнено</v>
      </c>
      <c r="K20" s="79" t="str">
        <f>IF(E24=0,"",IF(K19&gt;=100,"Гос.задание по гос.услуге выполнено в полном объеме",IF(K19&gt;=90,"Гос.задание по гос.услуге выполнено",IF(K19&lt;90,"Гос.задание по гос.услуге не выполнено"))))</f>
        <v>Гос.задание по гос.услуге выполнено в полном объеме</v>
      </c>
    </row>
    <row r="21" spans="1:11" ht="69" customHeight="1">
      <c r="A21" s="93"/>
      <c r="B21" s="9" t="s">
        <v>20</v>
      </c>
      <c r="C21" s="10" t="s">
        <v>16</v>
      </c>
      <c r="D21" s="12" t="s">
        <v>21</v>
      </c>
      <c r="E21" s="11">
        <v>90</v>
      </c>
      <c r="F21" s="7">
        <v>90</v>
      </c>
      <c r="G21" s="38" t="s">
        <v>122</v>
      </c>
      <c r="H21" s="6" t="s">
        <v>121</v>
      </c>
      <c r="I21" s="20">
        <f>IF(F21/E21*100&gt;100,100,F21/E21*100)</f>
        <v>100</v>
      </c>
      <c r="J21" s="57"/>
      <c r="K21" s="56"/>
    </row>
    <row r="22" spans="1:11" ht="54" customHeight="1">
      <c r="A22" s="93"/>
      <c r="B22" s="9" t="s">
        <v>22</v>
      </c>
      <c r="C22" s="10" t="s">
        <v>16</v>
      </c>
      <c r="D22" s="12" t="s">
        <v>23</v>
      </c>
      <c r="E22" s="11">
        <v>90</v>
      </c>
      <c r="F22" s="7">
        <v>90</v>
      </c>
      <c r="G22" s="38" t="s">
        <v>108</v>
      </c>
      <c r="H22" s="6" t="s">
        <v>123</v>
      </c>
      <c r="I22" s="20">
        <f>IF(F22/E22*100&gt;100,100,F22/E22*100)</f>
        <v>100</v>
      </c>
      <c r="J22" s="57"/>
      <c r="K22" s="56"/>
    </row>
    <row r="23" spans="1:11" ht="19.5" customHeight="1">
      <c r="A23" s="93"/>
      <c r="B23" s="9" t="s">
        <v>24</v>
      </c>
      <c r="C23" s="10" t="s">
        <v>16</v>
      </c>
      <c r="D23" s="12" t="s">
        <v>25</v>
      </c>
      <c r="E23" s="11">
        <v>60</v>
      </c>
      <c r="F23" s="7">
        <v>50</v>
      </c>
      <c r="G23" s="38" t="s">
        <v>126</v>
      </c>
      <c r="H23" s="6" t="s">
        <v>124</v>
      </c>
      <c r="I23" s="20">
        <f>IF(F23/E23*100&gt;100,100,F23/E23*100)</f>
        <v>83.33333333333334</v>
      </c>
      <c r="J23" s="57"/>
      <c r="K23" s="56"/>
    </row>
    <row r="24" spans="1:11" ht="42.75" customHeight="1" thickBot="1">
      <c r="A24" s="64" t="s">
        <v>3</v>
      </c>
      <c r="B24" s="40" t="s">
        <v>14</v>
      </c>
      <c r="C24" s="41" t="s">
        <v>4</v>
      </c>
      <c r="D24" s="41"/>
      <c r="E24" s="41">
        <f>VLOOKUP(A5,$B$191:$Y$207,4)</f>
        <v>15</v>
      </c>
      <c r="F24" s="42">
        <v>20</v>
      </c>
      <c r="G24" s="38" t="s">
        <v>127</v>
      </c>
      <c r="H24" s="38" t="s">
        <v>120</v>
      </c>
      <c r="I24" s="53">
        <f>IF(E24=0,0,IF(F24/E24*100&gt;110,110,F24/E24*100))</f>
        <v>110</v>
      </c>
      <c r="J24" s="44">
        <f>IF(E24=0,"",I24)</f>
        <v>110</v>
      </c>
      <c r="K24" s="61" t="str">
        <f>IF(E24=0,"",IF(J24&gt;=100,"Гос.задание по гос.услуге выполнено в полном объеме",IF(J24&gt;=90,"Гос.задание по гос.услуге выполнено",IF(J24&lt;90,"Гос.задание по гос.услуге не выполнено"))))</f>
        <v>Гос.задание по гос.услуге выполнено в полном объеме</v>
      </c>
    </row>
    <row r="25" spans="1:11" ht="37.5" customHeight="1">
      <c r="A25" s="89" t="s">
        <v>38</v>
      </c>
      <c r="B25" s="90"/>
      <c r="C25" s="90"/>
      <c r="D25" s="90"/>
      <c r="E25" s="90"/>
      <c r="F25" s="90"/>
      <c r="G25" s="90"/>
      <c r="H25" s="90"/>
      <c r="I25" s="90"/>
      <c r="J25" s="90"/>
      <c r="K25" s="91"/>
    </row>
    <row r="26" spans="1:11" ht="77.25" customHeight="1">
      <c r="A26" s="92" t="s">
        <v>34</v>
      </c>
      <c r="B26" s="33" t="s">
        <v>15</v>
      </c>
      <c r="C26" s="34" t="s">
        <v>16</v>
      </c>
      <c r="D26" s="35" t="s">
        <v>17</v>
      </c>
      <c r="E26" s="36">
        <v>80</v>
      </c>
      <c r="F26" s="37">
        <v>80</v>
      </c>
      <c r="G26" s="38" t="s">
        <v>134</v>
      </c>
      <c r="H26" s="38" t="s">
        <v>120</v>
      </c>
      <c r="I26" s="39">
        <f>IF(F26/E26*100&gt;100,100,F26/E26*100)</f>
        <v>100</v>
      </c>
      <c r="J26" s="76">
        <f>IF(E31=0,"",(I26+I27+I28+I29+I30)/5)</f>
        <v>94.46666666666667</v>
      </c>
      <c r="K26" s="87">
        <f>IF(E31&gt;0,(J26+J31)/2,0)</f>
        <v>102.23333333333333</v>
      </c>
    </row>
    <row r="27" spans="1:11" ht="51" customHeight="1">
      <c r="A27" s="93"/>
      <c r="B27" s="9" t="s">
        <v>18</v>
      </c>
      <c r="C27" s="10" t="s">
        <v>19</v>
      </c>
      <c r="D27" s="12" t="s">
        <v>36</v>
      </c>
      <c r="E27" s="11">
        <v>0</v>
      </c>
      <c r="F27" s="13">
        <v>90</v>
      </c>
      <c r="G27" s="6" t="s">
        <v>149</v>
      </c>
      <c r="H27" s="6" t="s">
        <v>148</v>
      </c>
      <c r="I27" s="20">
        <f>IF(F27=0,100,IF(F27&gt;5,89,90))</f>
        <v>89</v>
      </c>
      <c r="J27" s="32" t="str">
        <f>IF(E31=0,"",IF(J26&gt;=100,"Гос.задание по гос.услуге выполнено в полном объеме",IF(J26&gt;=90,"Гос.задание по гос.услуге выполнено",IF(J26&lt;90,"Гос.задание по гос.услуге не выполнено"))))</f>
        <v>Гос.задание по гос.услуге выполнено</v>
      </c>
      <c r="K27" s="79" t="str">
        <f>IF(E31=0,"",IF(K26&gt;=100,"Гос.задание по гос.услуге выполнено в полном объеме",IF(K26&gt;=90,"Гос.задание по гос.услуге выполнено",IF(K26&lt;90,"Гос.задание по гос.услуге не выполнено"))))</f>
        <v>Гос.задание по гос.услуге выполнено в полном объеме</v>
      </c>
    </row>
    <row r="28" spans="1:11" ht="69" customHeight="1">
      <c r="A28" s="93"/>
      <c r="B28" s="9" t="s">
        <v>20</v>
      </c>
      <c r="C28" s="10" t="s">
        <v>16</v>
      </c>
      <c r="D28" s="12" t="s">
        <v>21</v>
      </c>
      <c r="E28" s="11">
        <v>90</v>
      </c>
      <c r="F28" s="7">
        <v>90</v>
      </c>
      <c r="G28" s="6" t="s">
        <v>122</v>
      </c>
      <c r="H28" s="6" t="s">
        <v>121</v>
      </c>
      <c r="I28" s="20">
        <f>IF(F28/E28*100&gt;100,100,F28/E28*100)</f>
        <v>100</v>
      </c>
      <c r="J28" s="57"/>
      <c r="K28" s="56"/>
    </row>
    <row r="29" spans="1:11" ht="54" customHeight="1">
      <c r="A29" s="93"/>
      <c r="B29" s="9" t="s">
        <v>22</v>
      </c>
      <c r="C29" s="10" t="s">
        <v>16</v>
      </c>
      <c r="D29" s="12" t="s">
        <v>23</v>
      </c>
      <c r="E29" s="11">
        <v>90</v>
      </c>
      <c r="F29" s="7">
        <v>90</v>
      </c>
      <c r="G29" s="6" t="s">
        <v>108</v>
      </c>
      <c r="H29" s="6" t="s">
        <v>123</v>
      </c>
      <c r="I29" s="20">
        <f>IF(F29/E29*100&gt;100,100,F29/E29*100)</f>
        <v>100</v>
      </c>
      <c r="J29" s="57"/>
      <c r="K29" s="56"/>
    </row>
    <row r="30" spans="1:11" ht="19.5" customHeight="1">
      <c r="A30" s="93"/>
      <c r="B30" s="9" t="s">
        <v>24</v>
      </c>
      <c r="C30" s="10" t="s">
        <v>16</v>
      </c>
      <c r="D30" s="12" t="s">
        <v>25</v>
      </c>
      <c r="E30" s="11">
        <v>60</v>
      </c>
      <c r="F30" s="7">
        <v>50</v>
      </c>
      <c r="G30" s="6" t="s">
        <v>126</v>
      </c>
      <c r="H30" s="6" t="s">
        <v>124</v>
      </c>
      <c r="I30" s="20">
        <f>IF(F30/E30*100&gt;100,100,F30/E30*100)</f>
        <v>83.33333333333334</v>
      </c>
      <c r="J30" s="57"/>
      <c r="K30" s="56"/>
    </row>
    <row r="31" spans="1:11" ht="42.75" customHeight="1" thickBot="1">
      <c r="A31" s="64" t="s">
        <v>3</v>
      </c>
      <c r="B31" s="40" t="s">
        <v>14</v>
      </c>
      <c r="C31" s="41" t="s">
        <v>4</v>
      </c>
      <c r="D31" s="41"/>
      <c r="E31" s="41">
        <f>VLOOKUP(A5,$B$191:$Y$207,5)</f>
        <v>6</v>
      </c>
      <c r="F31" s="42">
        <v>16</v>
      </c>
      <c r="G31" s="43" t="s">
        <v>127</v>
      </c>
      <c r="H31" s="43" t="s">
        <v>120</v>
      </c>
      <c r="I31" s="53">
        <f>IF(E31=0,0,IF(F31/E31*100&gt;110,110,F31/E31*100))</f>
        <v>110</v>
      </c>
      <c r="J31" s="44">
        <f>IF(E31=0,"",I31)</f>
        <v>110</v>
      </c>
      <c r="K31" s="61" t="str">
        <f>IF(E31=0,"",IF(J31&gt;=100,"Гос.задание по гос.услуге выполнено в полном объеме",IF(J31&gt;=90,"Гос.задание по гос.услуге выполнено",IF(J31&lt;90,"Гос.задание по гос.услуге не выполнено"))))</f>
        <v>Гос.задание по гос.услуге выполнено в полном объеме</v>
      </c>
    </row>
    <row r="32" spans="1:11" ht="28.5" customHeight="1">
      <c r="A32" s="89" t="s">
        <v>39</v>
      </c>
      <c r="B32" s="90"/>
      <c r="C32" s="90"/>
      <c r="D32" s="90"/>
      <c r="E32" s="90"/>
      <c r="F32" s="90"/>
      <c r="G32" s="90"/>
      <c r="H32" s="90"/>
      <c r="I32" s="90"/>
      <c r="J32" s="90"/>
      <c r="K32" s="91"/>
    </row>
    <row r="33" spans="1:11" ht="77.25" customHeight="1">
      <c r="A33" s="92" t="s">
        <v>34</v>
      </c>
      <c r="B33" s="33" t="s">
        <v>15</v>
      </c>
      <c r="C33" s="34" t="s">
        <v>16</v>
      </c>
      <c r="D33" s="35" t="s">
        <v>17</v>
      </c>
      <c r="E33" s="36">
        <v>80</v>
      </c>
      <c r="F33" s="37">
        <v>80</v>
      </c>
      <c r="G33" s="38" t="s">
        <v>135</v>
      </c>
      <c r="H33" s="38" t="s">
        <v>120</v>
      </c>
      <c r="I33" s="39">
        <f>IF(F33/E33*100&gt;100,100,F33/E33*100)</f>
        <v>100</v>
      </c>
      <c r="J33" s="76">
        <f>IF(E38=0,"",(I33+I34+I35+I36+I37)/5)</f>
        <v>94.46666666666667</v>
      </c>
      <c r="K33" s="87">
        <f>IF(E38&gt;0,(J33+J38)/2,0)</f>
        <v>102.23333333333333</v>
      </c>
    </row>
    <row r="34" spans="1:11" ht="51" customHeight="1">
      <c r="A34" s="93"/>
      <c r="B34" s="9" t="s">
        <v>18</v>
      </c>
      <c r="C34" s="10" t="s">
        <v>19</v>
      </c>
      <c r="D34" s="12" t="s">
        <v>36</v>
      </c>
      <c r="E34" s="11">
        <v>0</v>
      </c>
      <c r="F34" s="13">
        <v>90</v>
      </c>
      <c r="G34" s="6" t="s">
        <v>149</v>
      </c>
      <c r="H34" s="6" t="s">
        <v>148</v>
      </c>
      <c r="I34" s="20">
        <f>IF(F34=0,100,IF(F34&gt;5,89,90))</f>
        <v>89</v>
      </c>
      <c r="J34" s="32" t="str">
        <f>IF(E38=0,"",IF(J33&gt;=100,"Гос.задание по гос.услуге выполнено в полном объеме",IF(J33&gt;=90,"Гос.задание по гос.услуге выполнено",IF(J33&lt;90,"Гос.задание по гос.услуге не выполнено"))))</f>
        <v>Гос.задание по гос.услуге выполнено</v>
      </c>
      <c r="K34" s="79" t="str">
        <f>IF(E38=0,"",IF(K33&gt;=100,"Гос.задание по гос.услуге выполнено в полном объеме",IF(K33&gt;=90,"Гос.задание по гос.услуге выполнено",IF(K33&lt;90,"Гос.задание по гос.услуге не выполнено"))))</f>
        <v>Гос.задание по гос.услуге выполнено в полном объеме</v>
      </c>
    </row>
    <row r="35" spans="1:11" ht="69" customHeight="1">
      <c r="A35" s="93"/>
      <c r="B35" s="9" t="s">
        <v>20</v>
      </c>
      <c r="C35" s="10" t="s">
        <v>16</v>
      </c>
      <c r="D35" s="12" t="s">
        <v>21</v>
      </c>
      <c r="E35" s="11">
        <v>90</v>
      </c>
      <c r="F35" s="7">
        <v>90</v>
      </c>
      <c r="G35" s="6" t="s">
        <v>122</v>
      </c>
      <c r="H35" s="6" t="s">
        <v>121</v>
      </c>
      <c r="I35" s="20">
        <f>IF(F35/E35*100&gt;100,100,F35/E35*100)</f>
        <v>100</v>
      </c>
      <c r="J35" s="57"/>
      <c r="K35" s="56"/>
    </row>
    <row r="36" spans="1:11" ht="54" customHeight="1">
      <c r="A36" s="93"/>
      <c r="B36" s="9" t="s">
        <v>22</v>
      </c>
      <c r="C36" s="10" t="s">
        <v>16</v>
      </c>
      <c r="D36" s="12" t="s">
        <v>23</v>
      </c>
      <c r="E36" s="11">
        <v>90</v>
      </c>
      <c r="F36" s="7">
        <v>90</v>
      </c>
      <c r="G36" s="6" t="s">
        <v>108</v>
      </c>
      <c r="H36" s="6" t="s">
        <v>123</v>
      </c>
      <c r="I36" s="20">
        <f>IF(F36/E36*100&gt;100,100,F36/E36*100)</f>
        <v>100</v>
      </c>
      <c r="J36" s="57"/>
      <c r="K36" s="56"/>
    </row>
    <row r="37" spans="1:11" ht="19.5" customHeight="1">
      <c r="A37" s="93"/>
      <c r="B37" s="9" t="s">
        <v>24</v>
      </c>
      <c r="C37" s="10" t="s">
        <v>16</v>
      </c>
      <c r="D37" s="12" t="s">
        <v>25</v>
      </c>
      <c r="E37" s="11">
        <v>60</v>
      </c>
      <c r="F37" s="7">
        <v>50</v>
      </c>
      <c r="G37" s="6" t="s">
        <v>126</v>
      </c>
      <c r="H37" s="6" t="s">
        <v>124</v>
      </c>
      <c r="I37" s="20">
        <f>IF(F37/E37*100&gt;100,100,F37/E37*100)</f>
        <v>83.33333333333334</v>
      </c>
      <c r="J37" s="57"/>
      <c r="K37" s="56"/>
    </row>
    <row r="38" spans="1:11" ht="42.75" customHeight="1" thickBot="1">
      <c r="A38" s="64" t="s">
        <v>3</v>
      </c>
      <c r="B38" s="40" t="s">
        <v>14</v>
      </c>
      <c r="C38" s="41" t="s">
        <v>4</v>
      </c>
      <c r="D38" s="41"/>
      <c r="E38" s="41">
        <f>VLOOKUP(A5,$B$191:$Y$207,6)</f>
        <v>5</v>
      </c>
      <c r="F38" s="42">
        <v>8</v>
      </c>
      <c r="G38" s="43" t="s">
        <v>127</v>
      </c>
      <c r="H38" s="43" t="s">
        <v>120</v>
      </c>
      <c r="I38" s="53">
        <f>IF(E38=0,0,IF(F38/E38*100&gt;110,110,F38/E38*100))</f>
        <v>110</v>
      </c>
      <c r="J38" s="44">
        <f>IF(E38=0,"",I38)</f>
        <v>110</v>
      </c>
      <c r="K38" s="61" t="str">
        <f>IF(E38=0,"",IF(J38&gt;=100,"Гос.задание по гос.услуге выполнено в полном объеме",IF(J38&gt;=90,"Гос.задание по гос.услуге выполнено",IF(J38&lt;90,"Гос.задание по гос.услуге не выполнено"))))</f>
        <v>Гос.задание по гос.услуге выполнено в полном объеме</v>
      </c>
    </row>
    <row r="39" spans="1:11" ht="28.5" customHeight="1">
      <c r="A39" s="89" t="s">
        <v>40</v>
      </c>
      <c r="B39" s="90"/>
      <c r="C39" s="90"/>
      <c r="D39" s="90"/>
      <c r="E39" s="90"/>
      <c r="F39" s="90"/>
      <c r="G39" s="90"/>
      <c r="H39" s="90"/>
      <c r="I39" s="90"/>
      <c r="J39" s="90"/>
      <c r="K39" s="91"/>
    </row>
    <row r="40" spans="1:11" ht="77.25" customHeight="1">
      <c r="A40" s="92" t="s">
        <v>34</v>
      </c>
      <c r="B40" s="33" t="s">
        <v>15</v>
      </c>
      <c r="C40" s="34" t="s">
        <v>16</v>
      </c>
      <c r="D40" s="35" t="s">
        <v>17</v>
      </c>
      <c r="E40" s="36">
        <v>80</v>
      </c>
      <c r="F40" s="37">
        <v>80</v>
      </c>
      <c r="G40" s="38" t="s">
        <v>136</v>
      </c>
      <c r="H40" s="38" t="s">
        <v>120</v>
      </c>
      <c r="I40" s="39">
        <f>IF(F40/E40*100&gt;100,100,F40/E40*100)</f>
        <v>100</v>
      </c>
      <c r="J40" s="76">
        <f>IF(E45=0,"",(I40+I41+I42+I43+I44)/5)</f>
        <v>94.46666666666667</v>
      </c>
      <c r="K40" s="87">
        <f>IF(E45&gt;0,(J40+J45)/2,0)</f>
        <v>102.23333333333333</v>
      </c>
    </row>
    <row r="41" spans="1:11" ht="45.75" customHeight="1">
      <c r="A41" s="93"/>
      <c r="B41" s="9" t="s">
        <v>18</v>
      </c>
      <c r="C41" s="10" t="s">
        <v>19</v>
      </c>
      <c r="D41" s="12" t="s">
        <v>36</v>
      </c>
      <c r="E41" s="11">
        <v>0</v>
      </c>
      <c r="F41" s="13">
        <v>90</v>
      </c>
      <c r="G41" s="6" t="s">
        <v>149</v>
      </c>
      <c r="H41" s="6" t="s">
        <v>148</v>
      </c>
      <c r="I41" s="20">
        <f>IF(F41=0,100,IF(F41&gt;5,89,90))</f>
        <v>89</v>
      </c>
      <c r="J41" s="32" t="str">
        <f>IF(E45=0,"",IF(J40&gt;=100,"Гос.задание по гос.услуге выполнено в полном объеме",IF(J40&gt;=90,"Гос.задание по гос.услуге выполнено",IF(J40&lt;90,"Гос.задание по гос.услуге не выполнено"))))</f>
        <v>Гос.задание по гос.услуге выполнено</v>
      </c>
      <c r="K41" s="79" t="str">
        <f>IF(E45=0,"",IF(K40&gt;=100,"Гос.задание по гос.услуге выполнено в полном объеме",IF(K40&gt;=90,"Гос.задание по гос.услуге выполнено",IF(K40&lt;90,"Гос.задание по гос.услуге не выполнено"))))</f>
        <v>Гос.задание по гос.услуге выполнено в полном объеме</v>
      </c>
    </row>
    <row r="42" spans="1:11" ht="69" customHeight="1">
      <c r="A42" s="93"/>
      <c r="B42" s="9" t="s">
        <v>20</v>
      </c>
      <c r="C42" s="10" t="s">
        <v>16</v>
      </c>
      <c r="D42" s="12" t="s">
        <v>21</v>
      </c>
      <c r="E42" s="11">
        <v>90</v>
      </c>
      <c r="F42" s="7">
        <v>90</v>
      </c>
      <c r="G42" s="6" t="s">
        <v>122</v>
      </c>
      <c r="H42" s="6" t="s">
        <v>121</v>
      </c>
      <c r="I42" s="20">
        <f>IF(F42/E42*100&gt;100,100,F42/E42*100)</f>
        <v>100</v>
      </c>
      <c r="J42" s="57"/>
      <c r="K42" s="56"/>
    </row>
    <row r="43" spans="1:11" ht="54" customHeight="1">
      <c r="A43" s="93"/>
      <c r="B43" s="9" t="s">
        <v>22</v>
      </c>
      <c r="C43" s="10" t="s">
        <v>16</v>
      </c>
      <c r="D43" s="12" t="s">
        <v>23</v>
      </c>
      <c r="E43" s="11">
        <v>90</v>
      </c>
      <c r="F43" s="7">
        <v>90</v>
      </c>
      <c r="G43" s="6" t="s">
        <v>108</v>
      </c>
      <c r="H43" s="6" t="s">
        <v>123</v>
      </c>
      <c r="I43" s="20">
        <f>IF(F43/E43*100&gt;100,100,F43/E43*100)</f>
        <v>100</v>
      </c>
      <c r="J43" s="57"/>
      <c r="K43" s="56"/>
    </row>
    <row r="44" spans="1:11" ht="19.5" customHeight="1">
      <c r="A44" s="93"/>
      <c r="B44" s="9" t="s">
        <v>24</v>
      </c>
      <c r="C44" s="10" t="s">
        <v>16</v>
      </c>
      <c r="D44" s="12" t="s">
        <v>25</v>
      </c>
      <c r="E44" s="11">
        <v>60</v>
      </c>
      <c r="F44" s="7">
        <v>50</v>
      </c>
      <c r="G44" s="6" t="s">
        <v>126</v>
      </c>
      <c r="H44" s="6" t="s">
        <v>124</v>
      </c>
      <c r="I44" s="20">
        <f>IF(F44/E44*100&gt;100,100,F44/E44*100)</f>
        <v>83.33333333333334</v>
      </c>
      <c r="J44" s="57"/>
      <c r="K44" s="56"/>
    </row>
    <row r="45" spans="1:11" ht="42.75" customHeight="1" thickBot="1">
      <c r="A45" s="64" t="s">
        <v>3</v>
      </c>
      <c r="B45" s="40" t="s">
        <v>14</v>
      </c>
      <c r="C45" s="41" t="s">
        <v>4</v>
      </c>
      <c r="D45" s="41"/>
      <c r="E45" s="41">
        <f>VLOOKUP(A5,$B$191:$Y$207,7)</f>
        <v>21</v>
      </c>
      <c r="F45" s="42">
        <v>35</v>
      </c>
      <c r="G45" s="43" t="s">
        <v>127</v>
      </c>
      <c r="H45" s="43" t="s">
        <v>120</v>
      </c>
      <c r="I45" s="53">
        <f>IF(E45=0,0,IF(F45/E45*100&gt;110,110,F45/E45*100))</f>
        <v>110</v>
      </c>
      <c r="J45" s="44">
        <f>IF(E45=0,"",I45)</f>
        <v>110</v>
      </c>
      <c r="K45" s="61" t="str">
        <f>IF(E45=0,"",IF(J45&gt;=100,"Гос.задание по гос.услуге выполнено в полном объеме",IF(J45&gt;=90,"Гос.задание по гос.услуге выполнено",IF(J45&lt;90,"Гос.задание по гос.услуге не выполнено"))))</f>
        <v>Гос.задание по гос.услуге выполнено в полном объеме</v>
      </c>
    </row>
    <row r="47" spans="1:15" ht="16.5" customHeight="1">
      <c r="A47" s="102" t="s">
        <v>41</v>
      </c>
      <c r="B47" s="100" t="s">
        <v>90</v>
      </c>
      <c r="C47" s="100"/>
      <c r="D47" s="100"/>
      <c r="E47" s="100"/>
      <c r="F47" s="100"/>
      <c r="G47" s="100"/>
      <c r="H47" s="100"/>
      <c r="I47" s="100"/>
      <c r="J47" s="100"/>
      <c r="K47" s="77">
        <f>(K52+K59+K66+K73+K80+K87+K94+K101)/(COUNTIF(K52,"&gt;0")+COUNTIF(K59,"&gt;0")+COUNTIF(K66,"&gt;0")+COUNTIF(K73,"&gt;0")+COUNTIF(K80,"&gt;0")+COUNTIF(K87,"&gt;0")+COUNTIF(K94,"&gt;0")+COUNTIF(K101,"&gt;0"))</f>
        <v>99.51050278445454</v>
      </c>
      <c r="L47" s="8"/>
      <c r="M47" s="8"/>
      <c r="N47" s="8"/>
      <c r="O47" s="8"/>
    </row>
    <row r="48" spans="1:15" ht="48.75" customHeight="1">
      <c r="A48" s="103"/>
      <c r="B48" s="101"/>
      <c r="C48" s="101"/>
      <c r="D48" s="101"/>
      <c r="E48" s="101"/>
      <c r="F48" s="101"/>
      <c r="G48" s="101"/>
      <c r="H48" s="101"/>
      <c r="I48" s="101"/>
      <c r="J48" s="101"/>
      <c r="K48" s="78" t="str">
        <f>IF(K47&gt;=100,"Гос.задание по гос.услуге выполнено",IF(K47&gt;=90,"Гос.задание по гос.услуге в целом выполнено",IF(K47&lt;90,"Гос.задание по гос.услуге не выполнено")))</f>
        <v>Гос.задание по гос.услуге в целом выполнено</v>
      </c>
      <c r="L48" s="8"/>
      <c r="M48" s="8"/>
      <c r="N48" s="8"/>
      <c r="O48" s="8"/>
    </row>
    <row r="49" spans="1:11" ht="75" customHeight="1">
      <c r="A49" s="104" t="s">
        <v>7</v>
      </c>
      <c r="B49" s="1" t="s">
        <v>0</v>
      </c>
      <c r="C49" s="1" t="s">
        <v>1</v>
      </c>
      <c r="D49" s="1" t="s">
        <v>2</v>
      </c>
      <c r="E49" s="1" t="s">
        <v>32</v>
      </c>
      <c r="F49" s="1" t="s">
        <v>33</v>
      </c>
      <c r="G49" s="1" t="s">
        <v>6</v>
      </c>
      <c r="H49" s="1" t="s">
        <v>5</v>
      </c>
      <c r="I49" s="1" t="s">
        <v>30</v>
      </c>
      <c r="J49" s="1" t="s">
        <v>31</v>
      </c>
      <c r="K49" s="30" t="s">
        <v>13</v>
      </c>
    </row>
    <row r="50" spans="1:11" ht="18" customHeight="1" thickBot="1">
      <c r="A50" s="105"/>
      <c r="B50" s="31">
        <v>1</v>
      </c>
      <c r="C50" s="31">
        <v>2</v>
      </c>
      <c r="D50" s="31">
        <v>3</v>
      </c>
      <c r="E50" s="31">
        <v>4</v>
      </c>
      <c r="F50" s="31">
        <v>5</v>
      </c>
      <c r="G50" s="31">
        <v>6</v>
      </c>
      <c r="H50" s="31">
        <v>7</v>
      </c>
      <c r="I50" s="31">
        <v>8</v>
      </c>
      <c r="J50" s="24">
        <v>9</v>
      </c>
      <c r="K50" s="21">
        <v>10</v>
      </c>
    </row>
    <row r="51" spans="1:11" ht="30.75" customHeight="1">
      <c r="A51" s="89" t="s">
        <v>35</v>
      </c>
      <c r="B51" s="90"/>
      <c r="C51" s="90"/>
      <c r="D51" s="90"/>
      <c r="E51" s="90"/>
      <c r="F51" s="90"/>
      <c r="G51" s="90"/>
      <c r="H51" s="90"/>
      <c r="I51" s="90"/>
      <c r="J51" s="90"/>
      <c r="K51" s="91"/>
    </row>
    <row r="52" spans="1:11" ht="77.25" customHeight="1">
      <c r="A52" s="92" t="s">
        <v>34</v>
      </c>
      <c r="B52" s="33" t="s">
        <v>15</v>
      </c>
      <c r="C52" s="34" t="s">
        <v>16</v>
      </c>
      <c r="D52" s="35" t="s">
        <v>17</v>
      </c>
      <c r="E52" s="36">
        <v>80</v>
      </c>
      <c r="F52" s="37">
        <v>80</v>
      </c>
      <c r="G52" s="38" t="s">
        <v>137</v>
      </c>
      <c r="H52" s="38" t="s">
        <v>120</v>
      </c>
      <c r="I52" s="39">
        <f>IF(F52/E52*100&gt;100,100,F52/E52*100)</f>
        <v>100</v>
      </c>
      <c r="J52" s="76">
        <f>IF(E57=0,"",(I52+I53+I54+I55+I56)/5)</f>
        <v>94.46666666666667</v>
      </c>
      <c r="K52" s="87">
        <f>IF(E57&gt;0,(J52+J57)/2,0)</f>
        <v>102.23333333333333</v>
      </c>
    </row>
    <row r="53" spans="1:11" ht="51.75" customHeight="1">
      <c r="A53" s="93"/>
      <c r="B53" s="9" t="s">
        <v>18</v>
      </c>
      <c r="C53" s="10" t="s">
        <v>19</v>
      </c>
      <c r="D53" s="12" t="s">
        <v>36</v>
      </c>
      <c r="E53" s="11">
        <v>0</v>
      </c>
      <c r="F53" s="13">
        <v>100</v>
      </c>
      <c r="G53" s="6" t="s">
        <v>108</v>
      </c>
      <c r="H53" s="6" t="s">
        <v>125</v>
      </c>
      <c r="I53" s="20">
        <f>IF(F53=0,100,IF(F53&gt;5,89,90))</f>
        <v>89</v>
      </c>
      <c r="J53" s="32" t="str">
        <f>IF(E57=0,"",IF(J52&gt;=100,"Гос.задание по гос.услуге выполнено в полном объеме",IF(J52&gt;=90,"Гос.задание по гос.услуге выполнено",IF(J52&lt;90,"Гос.задание по гос.услуге не выполнено"))))</f>
        <v>Гос.задание по гос.услуге выполнено</v>
      </c>
      <c r="K53" s="79" t="str">
        <f>IF(E57=0,"",IF(K52&gt;=100,"Гос.задание по гос.услуге выполнено в полном объеме",IF(K52&gt;=90,"Гос.задание по гос.услуге выполнено",IF(K52&lt;90,"Гос.задание по гос.услуге не выполнено"))))</f>
        <v>Гос.задание по гос.услуге выполнено в полном объеме</v>
      </c>
    </row>
    <row r="54" spans="1:11" ht="69" customHeight="1">
      <c r="A54" s="93"/>
      <c r="B54" s="9" t="s">
        <v>20</v>
      </c>
      <c r="C54" s="10" t="s">
        <v>16</v>
      </c>
      <c r="D54" s="12" t="s">
        <v>21</v>
      </c>
      <c r="E54" s="11">
        <v>90</v>
      </c>
      <c r="F54" s="7">
        <v>90</v>
      </c>
      <c r="G54" s="6" t="s">
        <v>130</v>
      </c>
      <c r="H54" s="6" t="s">
        <v>112</v>
      </c>
      <c r="I54" s="20">
        <f>IF(F54/E54*100&gt;100,100,F54/E54*100)</f>
        <v>100</v>
      </c>
      <c r="J54" s="57"/>
      <c r="K54" s="56"/>
    </row>
    <row r="55" spans="1:11" ht="54" customHeight="1">
      <c r="A55" s="93"/>
      <c r="B55" s="9" t="s">
        <v>22</v>
      </c>
      <c r="C55" s="10" t="s">
        <v>16</v>
      </c>
      <c r="D55" s="12" t="s">
        <v>23</v>
      </c>
      <c r="E55" s="11">
        <v>90</v>
      </c>
      <c r="F55" s="7">
        <v>90</v>
      </c>
      <c r="G55" s="6" t="s">
        <v>128</v>
      </c>
      <c r="H55" s="6" t="s">
        <v>129</v>
      </c>
      <c r="I55" s="20">
        <f>IF(F55/E55*100&gt;100,100,F55/E55*100)</f>
        <v>100</v>
      </c>
      <c r="J55" s="57"/>
      <c r="K55" s="56"/>
    </row>
    <row r="56" spans="1:11" ht="19.5" customHeight="1">
      <c r="A56" s="93"/>
      <c r="B56" s="9" t="s">
        <v>24</v>
      </c>
      <c r="C56" s="10" t="s">
        <v>16</v>
      </c>
      <c r="D56" s="12" t="s">
        <v>25</v>
      </c>
      <c r="E56" s="11">
        <v>60</v>
      </c>
      <c r="F56" s="7">
        <v>50</v>
      </c>
      <c r="G56" s="6" t="s">
        <v>126</v>
      </c>
      <c r="H56" s="6" t="s">
        <v>124</v>
      </c>
      <c r="I56" s="20">
        <f>IF(F56/E56*100&gt;100,100,F56/E56*100)</f>
        <v>83.33333333333334</v>
      </c>
      <c r="J56" s="57"/>
      <c r="K56" s="56"/>
    </row>
    <row r="57" spans="1:11" ht="42.75" customHeight="1" thickBot="1">
      <c r="A57" s="64" t="s">
        <v>3</v>
      </c>
      <c r="B57" s="40" t="s">
        <v>14</v>
      </c>
      <c r="C57" s="41" t="s">
        <v>4</v>
      </c>
      <c r="D57" s="41"/>
      <c r="E57" s="41">
        <f>VLOOKUP(A5,$B$191:$Y$207,8)</f>
        <v>54</v>
      </c>
      <c r="F57" s="42">
        <v>65</v>
      </c>
      <c r="G57" s="43" t="s">
        <v>127</v>
      </c>
      <c r="H57" s="38" t="s">
        <v>120</v>
      </c>
      <c r="I57" s="53">
        <f>IF(E57=0,0,IF(F57/E57*100&gt;110,110,F57/E57*100))</f>
        <v>110</v>
      </c>
      <c r="J57" s="44">
        <f>IF(E57=0,"",I57)</f>
        <v>110</v>
      </c>
      <c r="K57" s="61" t="str">
        <f>IF(E57=0,"",IF(J57&gt;=100,"Гос.задание по гос.услуге выполнено в полном объеме",IF(J57&gt;=90,"Гос.задание по гос.услуге выполнено",IF(J57&lt;90,"Гос.задание по гос.услуге не выполнено"))))</f>
        <v>Гос.задание по гос.услуге выполнено в полном объеме</v>
      </c>
    </row>
    <row r="58" spans="1:11" ht="30.75" customHeight="1">
      <c r="A58" s="89" t="s">
        <v>37</v>
      </c>
      <c r="B58" s="90"/>
      <c r="C58" s="90"/>
      <c r="D58" s="90"/>
      <c r="E58" s="90"/>
      <c r="F58" s="90"/>
      <c r="G58" s="90"/>
      <c r="H58" s="90"/>
      <c r="I58" s="90"/>
      <c r="J58" s="90"/>
      <c r="K58" s="91"/>
    </row>
    <row r="59" spans="1:11" ht="77.25" customHeight="1">
      <c r="A59" s="92" t="s">
        <v>34</v>
      </c>
      <c r="B59" s="33" t="s">
        <v>15</v>
      </c>
      <c r="C59" s="34" t="s">
        <v>16</v>
      </c>
      <c r="D59" s="35" t="s">
        <v>17</v>
      </c>
      <c r="E59" s="36">
        <v>80</v>
      </c>
      <c r="F59" s="37">
        <v>80</v>
      </c>
      <c r="G59" s="38" t="s">
        <v>138</v>
      </c>
      <c r="H59" s="38" t="s">
        <v>120</v>
      </c>
      <c r="I59" s="39">
        <f>IF(F59/E59*100&gt;100,100,F59/E59*100)</f>
        <v>100</v>
      </c>
      <c r="J59" s="76">
        <f>IF(E64=0,"",(I59+I60+I61+I62+I63)/5)</f>
        <v>94.46666666666667</v>
      </c>
      <c r="K59" s="87">
        <f>IF(E64&gt;0,(J59+J64)/2,0)</f>
        <v>98.69776847977684</v>
      </c>
    </row>
    <row r="60" spans="1:11" ht="48.75" customHeight="1">
      <c r="A60" s="93"/>
      <c r="B60" s="9" t="s">
        <v>18</v>
      </c>
      <c r="C60" s="10" t="s">
        <v>19</v>
      </c>
      <c r="D60" s="12" t="s">
        <v>36</v>
      </c>
      <c r="E60" s="11">
        <v>0</v>
      </c>
      <c r="F60" s="13">
        <v>100</v>
      </c>
      <c r="G60" s="6" t="s">
        <v>108</v>
      </c>
      <c r="H60" s="6" t="s">
        <v>125</v>
      </c>
      <c r="I60" s="20">
        <f>IF(F60=0,100,IF(F60&gt;5,89,90))</f>
        <v>89</v>
      </c>
      <c r="J60" s="32" t="str">
        <f>IF(E64=0,"",IF(J59&gt;=100,"Гос.задание по гос.услуге выполнено в полном объеме",IF(J59&gt;=90,"Гос.задание по гос.услуге выполнено",IF(J59&lt;90,"Гос.задание по гос.услуге не выполнено"))))</f>
        <v>Гос.задание по гос.услуге выполнено</v>
      </c>
      <c r="K60" s="79" t="str">
        <f>IF(E64=0,"",IF(K59&gt;=100,"Гос.задание по гос.услуге выполнено в полном объеме",IF(K59&gt;=90,"Гос.задание по гос.услуге выполнено",IF(K59&lt;90,"Гос.задание по гос.услуге не выполнено"))))</f>
        <v>Гос.задание по гос.услуге выполнено</v>
      </c>
    </row>
    <row r="61" spans="1:11" ht="69" customHeight="1">
      <c r="A61" s="93"/>
      <c r="B61" s="9" t="s">
        <v>20</v>
      </c>
      <c r="C61" s="10" t="s">
        <v>16</v>
      </c>
      <c r="D61" s="12" t="s">
        <v>21</v>
      </c>
      <c r="E61" s="11">
        <v>90</v>
      </c>
      <c r="F61" s="7">
        <v>90</v>
      </c>
      <c r="G61" s="6" t="s">
        <v>130</v>
      </c>
      <c r="H61" s="6" t="s">
        <v>112</v>
      </c>
      <c r="I61" s="20">
        <f>IF(F61/E61*100&gt;100,100,F61/E61*100)</f>
        <v>100</v>
      </c>
      <c r="J61" s="57"/>
      <c r="K61" s="56"/>
    </row>
    <row r="62" spans="1:11" ht="54" customHeight="1">
      <c r="A62" s="93"/>
      <c r="B62" s="9" t="s">
        <v>22</v>
      </c>
      <c r="C62" s="10" t="s">
        <v>16</v>
      </c>
      <c r="D62" s="12" t="s">
        <v>23</v>
      </c>
      <c r="E62" s="11">
        <v>90</v>
      </c>
      <c r="F62" s="7">
        <v>90</v>
      </c>
      <c r="G62" s="6" t="s">
        <v>128</v>
      </c>
      <c r="H62" s="6" t="s">
        <v>129</v>
      </c>
      <c r="I62" s="20">
        <f>IF(F62/E62*100&gt;100,100,F62/E62*100)</f>
        <v>100</v>
      </c>
      <c r="J62" s="57"/>
      <c r="K62" s="56"/>
    </row>
    <row r="63" spans="1:11" ht="19.5" customHeight="1">
      <c r="A63" s="93"/>
      <c r="B63" s="9" t="s">
        <v>24</v>
      </c>
      <c r="C63" s="10" t="s">
        <v>16</v>
      </c>
      <c r="D63" s="12" t="s">
        <v>25</v>
      </c>
      <c r="E63" s="11">
        <v>60</v>
      </c>
      <c r="F63" s="7">
        <v>50</v>
      </c>
      <c r="G63" s="6" t="s">
        <v>126</v>
      </c>
      <c r="H63" s="6" t="s">
        <v>124</v>
      </c>
      <c r="I63" s="20">
        <f>IF(F63/E63*100&gt;100,100,F63/E63*100)</f>
        <v>83.33333333333334</v>
      </c>
      <c r="J63" s="57"/>
      <c r="K63" s="56"/>
    </row>
    <row r="64" spans="1:11" ht="42.75" customHeight="1" thickBot="1">
      <c r="A64" s="64" t="s">
        <v>3</v>
      </c>
      <c r="B64" s="40" t="s">
        <v>14</v>
      </c>
      <c r="C64" s="41" t="s">
        <v>4</v>
      </c>
      <c r="D64" s="41"/>
      <c r="E64" s="41">
        <f>VLOOKUP(A5,$B$191:$Y$207,9)</f>
        <v>478</v>
      </c>
      <c r="F64" s="42">
        <v>492</v>
      </c>
      <c r="G64" s="43" t="s">
        <v>127</v>
      </c>
      <c r="H64" s="38" t="s">
        <v>120</v>
      </c>
      <c r="I64" s="53">
        <f>IF(E64=0,0,IF(F64/E64*100&gt;110,110,F64/E64*100))</f>
        <v>102.92887029288703</v>
      </c>
      <c r="J64" s="44">
        <f>IF(E64=0,"",I64)</f>
        <v>102.92887029288703</v>
      </c>
      <c r="K64" s="61" t="str">
        <f>IF(E64=0,"",IF(J64&gt;=100,"Гос.задание по гос.услуге выполнено в полном объеме",IF(J64&gt;=90,"Гос.задание по гос.услуге выполнено",IF(J64&lt;90,"Гос.задание по гос.услуге не выполнено"))))</f>
        <v>Гос.задание по гос.услуге выполнено в полном объеме</v>
      </c>
    </row>
    <row r="65" spans="1:11" ht="37.5" customHeight="1">
      <c r="A65" s="89" t="s">
        <v>42</v>
      </c>
      <c r="B65" s="90"/>
      <c r="C65" s="90"/>
      <c r="D65" s="90"/>
      <c r="E65" s="90"/>
      <c r="F65" s="90"/>
      <c r="G65" s="90"/>
      <c r="H65" s="90"/>
      <c r="I65" s="90"/>
      <c r="J65" s="90"/>
      <c r="K65" s="91"/>
    </row>
    <row r="66" spans="1:11" ht="77.25" customHeight="1">
      <c r="A66" s="92" t="s">
        <v>34</v>
      </c>
      <c r="B66" s="33" t="s">
        <v>15</v>
      </c>
      <c r="C66" s="34" t="s">
        <v>16</v>
      </c>
      <c r="D66" s="35" t="s">
        <v>17</v>
      </c>
      <c r="E66" s="36">
        <v>80</v>
      </c>
      <c r="F66" s="37">
        <v>80</v>
      </c>
      <c r="G66" s="38" t="s">
        <v>139</v>
      </c>
      <c r="H66" s="38" t="s">
        <v>120</v>
      </c>
      <c r="I66" s="39">
        <f>IF(F66/E66*100&gt;100,100,F66/E66*100)</f>
        <v>100</v>
      </c>
      <c r="J66" s="76">
        <f>IF(E71=0,"",(I66+I67+I68+I69+I70)/5)</f>
        <v>94.46666666666667</v>
      </c>
      <c r="K66" s="87">
        <f>IF(E71&gt;0,(J66+J71)/2,0)</f>
        <v>102.23333333333333</v>
      </c>
    </row>
    <row r="67" spans="1:11" ht="51.75" customHeight="1">
      <c r="A67" s="93"/>
      <c r="B67" s="9" t="s">
        <v>18</v>
      </c>
      <c r="C67" s="10" t="s">
        <v>19</v>
      </c>
      <c r="D67" s="12" t="s">
        <v>36</v>
      </c>
      <c r="E67" s="11">
        <v>0</v>
      </c>
      <c r="F67" s="13">
        <v>100</v>
      </c>
      <c r="G67" s="6" t="s">
        <v>108</v>
      </c>
      <c r="H67" s="6" t="s">
        <v>125</v>
      </c>
      <c r="I67" s="20">
        <f>IF(F67=0,100,IF(F67&gt;5,89,90))</f>
        <v>89</v>
      </c>
      <c r="J67" s="32" t="str">
        <f>IF(E71=0,"",IF(J66&gt;=100,"Гос.задание по гос.услуге выполнено в полном объеме",IF(J66&gt;=90,"Гос.задание по гос.услуге выполнено",IF(J66&lt;90,"Гос.задание по гос.услуге не выполнено"))))</f>
        <v>Гос.задание по гос.услуге выполнено</v>
      </c>
      <c r="K67" s="79" t="str">
        <f>IF(E71=0,"",IF(K66&gt;=100,"Гос.задание по гос.услуге выполнено в полном объеме",IF(K66&gt;=90,"Гос.задание по гос.услуге выполнено",IF(K66&lt;90,"Гос.задание по гос.услуге не выполнено"))))</f>
        <v>Гос.задание по гос.услуге выполнено в полном объеме</v>
      </c>
    </row>
    <row r="68" spans="1:11" ht="69" customHeight="1">
      <c r="A68" s="93"/>
      <c r="B68" s="9" t="s">
        <v>20</v>
      </c>
      <c r="C68" s="10" t="s">
        <v>16</v>
      </c>
      <c r="D68" s="12" t="s">
        <v>21</v>
      </c>
      <c r="E68" s="11">
        <v>90</v>
      </c>
      <c r="F68" s="7">
        <v>90</v>
      </c>
      <c r="G68" s="6" t="s">
        <v>130</v>
      </c>
      <c r="H68" s="6" t="s">
        <v>112</v>
      </c>
      <c r="I68" s="20">
        <f>IF(F68/E68*100&gt;100,100,F68/E68*100)</f>
        <v>100</v>
      </c>
      <c r="J68" s="57"/>
      <c r="K68" s="56"/>
    </row>
    <row r="69" spans="1:11" ht="54" customHeight="1">
      <c r="A69" s="93"/>
      <c r="B69" s="9" t="s">
        <v>22</v>
      </c>
      <c r="C69" s="10" t="s">
        <v>16</v>
      </c>
      <c r="D69" s="12" t="s">
        <v>23</v>
      </c>
      <c r="E69" s="11">
        <v>90</v>
      </c>
      <c r="F69" s="7">
        <v>90</v>
      </c>
      <c r="G69" s="6" t="s">
        <v>128</v>
      </c>
      <c r="H69" s="6" t="s">
        <v>129</v>
      </c>
      <c r="I69" s="20">
        <f>IF(F69/E69*100&gt;100,100,F69/E69*100)</f>
        <v>100</v>
      </c>
      <c r="J69" s="57"/>
      <c r="K69" s="56"/>
    </row>
    <row r="70" spans="1:11" ht="19.5" customHeight="1">
      <c r="A70" s="93"/>
      <c r="B70" s="9" t="s">
        <v>24</v>
      </c>
      <c r="C70" s="10" t="s">
        <v>16</v>
      </c>
      <c r="D70" s="12" t="s">
        <v>25</v>
      </c>
      <c r="E70" s="11">
        <v>60</v>
      </c>
      <c r="F70" s="7">
        <v>50</v>
      </c>
      <c r="G70" s="6" t="s">
        <v>126</v>
      </c>
      <c r="H70" s="6" t="s">
        <v>124</v>
      </c>
      <c r="I70" s="20">
        <f>IF(F70/E70*100&gt;100,100,F70/E70*100)</f>
        <v>83.33333333333334</v>
      </c>
      <c r="J70" s="57"/>
      <c r="K70" s="56"/>
    </row>
    <row r="71" spans="1:11" ht="42.75" customHeight="1" thickBot="1">
      <c r="A71" s="64" t="s">
        <v>3</v>
      </c>
      <c r="B71" s="40" t="s">
        <v>14</v>
      </c>
      <c r="C71" s="41" t="s">
        <v>4</v>
      </c>
      <c r="D71" s="41"/>
      <c r="E71" s="41">
        <f>VLOOKUP(A5,$B$191:$Y$207,10)</f>
        <v>65</v>
      </c>
      <c r="F71" s="42">
        <v>91</v>
      </c>
      <c r="G71" s="43" t="s">
        <v>127</v>
      </c>
      <c r="H71" s="38" t="s">
        <v>120</v>
      </c>
      <c r="I71" s="53">
        <f>IF(E71=0,0,IF(F71/E71*100&gt;110,110,F71/E71*100))</f>
        <v>110</v>
      </c>
      <c r="J71" s="44">
        <f>IF(E71=0,"",I71)</f>
        <v>110</v>
      </c>
      <c r="K71" s="61" t="str">
        <f>IF(E71=0,"",IF(J71&gt;=100,"Гос.задание по гос.услуге выполнено в полном объеме",IF(J71&gt;=90,"Гос.задание по гос.услуге выполнено",IF(J71&lt;90,"Гос.задание по гос.услуге не выполнено"))))</f>
        <v>Гос.задание по гос.услуге выполнено в полном объеме</v>
      </c>
    </row>
    <row r="72" spans="1:11" ht="28.5" customHeight="1">
      <c r="A72" s="89" t="s">
        <v>43</v>
      </c>
      <c r="B72" s="90"/>
      <c r="C72" s="90"/>
      <c r="D72" s="90"/>
      <c r="E72" s="90"/>
      <c r="F72" s="90"/>
      <c r="G72" s="90"/>
      <c r="H72" s="90"/>
      <c r="I72" s="90"/>
      <c r="J72" s="90"/>
      <c r="K72" s="91"/>
    </row>
    <row r="73" spans="1:11" ht="77.25" customHeight="1">
      <c r="A73" s="92" t="s">
        <v>34</v>
      </c>
      <c r="B73" s="33" t="s">
        <v>15</v>
      </c>
      <c r="C73" s="34" t="s">
        <v>16</v>
      </c>
      <c r="D73" s="35" t="s">
        <v>17</v>
      </c>
      <c r="E73" s="36">
        <v>80</v>
      </c>
      <c r="F73" s="37">
        <v>80</v>
      </c>
      <c r="G73" s="38" t="s">
        <v>140</v>
      </c>
      <c r="H73" s="38" t="s">
        <v>120</v>
      </c>
      <c r="I73" s="39">
        <f>IF(F73/E73*100&gt;100,100,F73/E73*100)</f>
        <v>100</v>
      </c>
      <c r="J73" s="76">
        <f>IF(E78=0,"",(I73+I74+I75+I76+I77)/5)</f>
        <v>94.46666666666667</v>
      </c>
      <c r="K73" s="87">
        <f>IF(E78&gt;0,(J73+J78)/2,0)</f>
        <v>97.23333333333333</v>
      </c>
    </row>
    <row r="74" spans="1:11" ht="53.25" customHeight="1">
      <c r="A74" s="93"/>
      <c r="B74" s="9" t="s">
        <v>18</v>
      </c>
      <c r="C74" s="10" t="s">
        <v>19</v>
      </c>
      <c r="D74" s="12" t="s">
        <v>36</v>
      </c>
      <c r="E74" s="11">
        <v>0</v>
      </c>
      <c r="F74" s="13">
        <v>100</v>
      </c>
      <c r="G74" s="6" t="s">
        <v>108</v>
      </c>
      <c r="H74" s="6" t="s">
        <v>125</v>
      </c>
      <c r="I74" s="20">
        <f>IF(F74=0,100,IF(F74&gt;5,89,90))</f>
        <v>89</v>
      </c>
      <c r="J74" s="32" t="str">
        <f>IF(E78=0,"",IF(J73&gt;=100,"Гос.задание по гос.услуге выполнено в полном объеме",IF(J73&gt;=90,"Гос.задание по гос.услуге выполнено",IF(J73&lt;90,"Гос.задание по гос.услуге не выполнено"))))</f>
        <v>Гос.задание по гос.услуге выполнено</v>
      </c>
      <c r="K74" s="79" t="str">
        <f>IF(E78=0,"",IF(K73&gt;=100,"Гос.задание по гос.услуге выполнено в полном объеме",IF(K73&gt;=90,"Гос.задание по гос.услуге выполнено",IF(K73&lt;90,"Гос.задание по гос.услуге не выполнено"))))</f>
        <v>Гос.задание по гос.услуге выполнено</v>
      </c>
    </row>
    <row r="75" spans="1:11" ht="69" customHeight="1">
      <c r="A75" s="93"/>
      <c r="B75" s="9" t="s">
        <v>20</v>
      </c>
      <c r="C75" s="10" t="s">
        <v>16</v>
      </c>
      <c r="D75" s="12" t="s">
        <v>21</v>
      </c>
      <c r="E75" s="11">
        <v>90</v>
      </c>
      <c r="F75" s="7">
        <v>90</v>
      </c>
      <c r="G75" s="6" t="s">
        <v>130</v>
      </c>
      <c r="H75" s="6" t="s">
        <v>112</v>
      </c>
      <c r="I75" s="20">
        <f>IF(F75/E75*100&gt;100,100,F75/E75*100)</f>
        <v>100</v>
      </c>
      <c r="J75" s="57"/>
      <c r="K75" s="56"/>
    </row>
    <row r="76" spans="1:11" ht="54" customHeight="1">
      <c r="A76" s="93"/>
      <c r="B76" s="9" t="s">
        <v>22</v>
      </c>
      <c r="C76" s="10" t="s">
        <v>16</v>
      </c>
      <c r="D76" s="12" t="s">
        <v>23</v>
      </c>
      <c r="E76" s="11">
        <v>90</v>
      </c>
      <c r="F76" s="7">
        <v>90</v>
      </c>
      <c r="G76" s="6" t="s">
        <v>128</v>
      </c>
      <c r="H76" s="6" t="s">
        <v>129</v>
      </c>
      <c r="I76" s="20">
        <f>IF(F76/E76*100&gt;100,100,F76/E76*100)</f>
        <v>100</v>
      </c>
      <c r="J76" s="57"/>
      <c r="K76" s="56"/>
    </row>
    <row r="77" spans="1:11" ht="19.5" customHeight="1">
      <c r="A77" s="93"/>
      <c r="B77" s="9" t="s">
        <v>24</v>
      </c>
      <c r="C77" s="10" t="s">
        <v>16</v>
      </c>
      <c r="D77" s="12" t="s">
        <v>25</v>
      </c>
      <c r="E77" s="11">
        <v>60</v>
      </c>
      <c r="F77" s="7">
        <v>50</v>
      </c>
      <c r="G77" s="6" t="s">
        <v>126</v>
      </c>
      <c r="H77" s="6" t="s">
        <v>124</v>
      </c>
      <c r="I77" s="20">
        <f>IF(F77/E77*100&gt;100,100,F77/E77*100)</f>
        <v>83.33333333333334</v>
      </c>
      <c r="J77" s="57"/>
      <c r="K77" s="56"/>
    </row>
    <row r="78" spans="1:11" ht="42.75" customHeight="1" thickBot="1">
      <c r="A78" s="64" t="s">
        <v>3</v>
      </c>
      <c r="B78" s="40" t="s">
        <v>14</v>
      </c>
      <c r="C78" s="41" t="s">
        <v>4</v>
      </c>
      <c r="D78" s="41"/>
      <c r="E78" s="41">
        <f>VLOOKUP(A5,$B$191:$Y$207,11)</f>
        <v>2</v>
      </c>
      <c r="F78" s="42">
        <v>2</v>
      </c>
      <c r="G78" s="43" t="s">
        <v>127</v>
      </c>
      <c r="H78" s="38" t="s">
        <v>120</v>
      </c>
      <c r="I78" s="53">
        <f>IF(E78=0,0,IF(F78/E78*100&gt;110,110,F78/E78*100))</f>
        <v>100</v>
      </c>
      <c r="J78" s="44">
        <f>IF(E78=0,"",I78)</f>
        <v>100</v>
      </c>
      <c r="K78" s="61" t="str">
        <f>IF(E78=0,"",IF(J78&gt;=100,"Гос.задание по гос.услуге выполнено в полном объеме",IF(J78&gt;=90,"Гос.задание по гос.услуге выполнено",IF(J78&lt;90,"Гос.задание по гос.услуге не выполнено"))))</f>
        <v>Гос.задание по гос.услуге выполнено в полном объеме</v>
      </c>
    </row>
    <row r="79" spans="1:11" ht="28.5" customHeight="1">
      <c r="A79" s="89" t="s">
        <v>39</v>
      </c>
      <c r="B79" s="90"/>
      <c r="C79" s="90"/>
      <c r="D79" s="90"/>
      <c r="E79" s="90"/>
      <c r="F79" s="90"/>
      <c r="G79" s="90"/>
      <c r="H79" s="90"/>
      <c r="I79" s="90"/>
      <c r="J79" s="90"/>
      <c r="K79" s="91"/>
    </row>
    <row r="80" spans="1:11" ht="77.25" customHeight="1">
      <c r="A80" s="92" t="s">
        <v>34</v>
      </c>
      <c r="B80" s="33" t="s">
        <v>15</v>
      </c>
      <c r="C80" s="34" t="s">
        <v>16</v>
      </c>
      <c r="D80" s="35" t="s">
        <v>17</v>
      </c>
      <c r="E80" s="36">
        <v>80</v>
      </c>
      <c r="F80" s="37">
        <v>80</v>
      </c>
      <c r="G80" s="38" t="s">
        <v>141</v>
      </c>
      <c r="H80" s="38" t="s">
        <v>120</v>
      </c>
      <c r="I80" s="39">
        <f>IF(F80/E80*100&gt;100,100,F80/E80*100)</f>
        <v>100</v>
      </c>
      <c r="J80" s="76">
        <f>IF(E85=0,"",(I80+I81+I82+I83+I84)/5)</f>
        <v>94.46666666666667</v>
      </c>
      <c r="K80" s="87">
        <f>IF(E85&gt;0,(J80+J85)/2,0)</f>
        <v>98.9</v>
      </c>
    </row>
    <row r="81" spans="1:11" ht="50.25" customHeight="1">
      <c r="A81" s="93"/>
      <c r="B81" s="9" t="s">
        <v>18</v>
      </c>
      <c r="C81" s="10" t="s">
        <v>19</v>
      </c>
      <c r="D81" s="12" t="s">
        <v>36</v>
      </c>
      <c r="E81" s="11">
        <v>0</v>
      </c>
      <c r="F81" s="13">
        <v>100</v>
      </c>
      <c r="G81" s="6" t="s">
        <v>108</v>
      </c>
      <c r="H81" s="6" t="s">
        <v>125</v>
      </c>
      <c r="I81" s="20">
        <f>IF(F81=0,100,IF(F81&gt;5,89,90))</f>
        <v>89</v>
      </c>
      <c r="J81" s="32" t="str">
        <f>IF(E85=0,"",IF(J80&gt;=100,"Гос.задание по гос.услуге выполнено в полном объеме",IF(J80&gt;=90,"Гос.задание по гос.услуге выполнено",IF(J80&lt;90,"Гос.задание по гос.услуге не выполнено"))))</f>
        <v>Гос.задание по гос.услуге выполнено</v>
      </c>
      <c r="K81" s="79" t="str">
        <f>IF(E85=0,"",IF(K80&gt;=100,"Гос.задание по гос.услуге выполнено в полном объеме",IF(K80&gt;=90,"Гос.задание по гос.услуге выполнено",IF(K80&lt;90,"Гос.задание по гос.услуге не выполнено"))))</f>
        <v>Гос.задание по гос.услуге выполнено</v>
      </c>
    </row>
    <row r="82" spans="1:11" ht="69" customHeight="1">
      <c r="A82" s="93"/>
      <c r="B82" s="9" t="s">
        <v>20</v>
      </c>
      <c r="C82" s="10" t="s">
        <v>16</v>
      </c>
      <c r="D82" s="12" t="s">
        <v>21</v>
      </c>
      <c r="E82" s="11">
        <v>90</v>
      </c>
      <c r="F82" s="7">
        <v>90</v>
      </c>
      <c r="G82" s="6" t="s">
        <v>130</v>
      </c>
      <c r="H82" s="6" t="s">
        <v>112</v>
      </c>
      <c r="I82" s="20">
        <f>IF(F82/E82*100&gt;100,100,F82/E82*100)</f>
        <v>100</v>
      </c>
      <c r="J82" s="57"/>
      <c r="K82" s="56"/>
    </row>
    <row r="83" spans="1:11" ht="54" customHeight="1">
      <c r="A83" s="93"/>
      <c r="B83" s="9" t="s">
        <v>22</v>
      </c>
      <c r="C83" s="10" t="s">
        <v>16</v>
      </c>
      <c r="D83" s="12" t="s">
        <v>23</v>
      </c>
      <c r="E83" s="11">
        <v>90</v>
      </c>
      <c r="F83" s="7">
        <v>90</v>
      </c>
      <c r="G83" s="6" t="s">
        <v>128</v>
      </c>
      <c r="H83" s="6" t="s">
        <v>129</v>
      </c>
      <c r="I83" s="20">
        <f>IF(F83/E83*100&gt;100,100,F83/E83*100)</f>
        <v>100</v>
      </c>
      <c r="J83" s="57"/>
      <c r="K83" s="56"/>
    </row>
    <row r="84" spans="1:11" ht="19.5" customHeight="1">
      <c r="A84" s="93"/>
      <c r="B84" s="9" t="s">
        <v>24</v>
      </c>
      <c r="C84" s="10" t="s">
        <v>16</v>
      </c>
      <c r="D84" s="12" t="s">
        <v>25</v>
      </c>
      <c r="E84" s="11">
        <v>60</v>
      </c>
      <c r="F84" s="7">
        <v>50</v>
      </c>
      <c r="G84" s="6" t="s">
        <v>126</v>
      </c>
      <c r="H84" s="6" t="s">
        <v>124</v>
      </c>
      <c r="I84" s="20">
        <f>IF(F84/E84*100&gt;100,100,F84/E84*100)</f>
        <v>83.33333333333334</v>
      </c>
      <c r="J84" s="57"/>
      <c r="K84" s="56"/>
    </row>
    <row r="85" spans="1:11" ht="42.75" customHeight="1" thickBot="1">
      <c r="A85" s="64" t="s">
        <v>3</v>
      </c>
      <c r="B85" s="40" t="s">
        <v>14</v>
      </c>
      <c r="C85" s="41" t="s">
        <v>4</v>
      </c>
      <c r="D85" s="41"/>
      <c r="E85" s="41">
        <f>VLOOKUP(A5,$B$191:$Y$207,12)</f>
        <v>150</v>
      </c>
      <c r="F85" s="42">
        <v>155</v>
      </c>
      <c r="G85" s="43" t="s">
        <v>127</v>
      </c>
      <c r="H85" s="38" t="s">
        <v>120</v>
      </c>
      <c r="I85" s="53">
        <f>IF(E85=0,0,IF(F85/E85*100&gt;110,110,F85/E85*100))</f>
        <v>103.33333333333334</v>
      </c>
      <c r="J85" s="44">
        <f>IF(E85=0,"",I85)</f>
        <v>103.33333333333334</v>
      </c>
      <c r="K85" s="61" t="str">
        <f>IF(E85=0,"",IF(J85&gt;=100,"Гос.задание по гос.услуге выполнено в полном объеме",IF(J85&gt;=90,"Гос.задание по гос.услуге выполнено",IF(J85&lt;90,"Гос.задание по гос.услуге не выполнено"))))</f>
        <v>Гос.задание по гос.услуге выполнено в полном объеме</v>
      </c>
    </row>
    <row r="86" spans="1:11" ht="28.5" customHeight="1">
      <c r="A86" s="89" t="s">
        <v>40</v>
      </c>
      <c r="B86" s="90"/>
      <c r="C86" s="90"/>
      <c r="D86" s="90"/>
      <c r="E86" s="90"/>
      <c r="F86" s="90"/>
      <c r="G86" s="90"/>
      <c r="H86" s="90"/>
      <c r="I86" s="90"/>
      <c r="J86" s="90"/>
      <c r="K86" s="91"/>
    </row>
    <row r="87" spans="1:11" ht="77.25" customHeight="1">
      <c r="A87" s="92" t="s">
        <v>34</v>
      </c>
      <c r="B87" s="33" t="s">
        <v>15</v>
      </c>
      <c r="C87" s="34" t="s">
        <v>16</v>
      </c>
      <c r="D87" s="35" t="s">
        <v>17</v>
      </c>
      <c r="E87" s="36">
        <v>80</v>
      </c>
      <c r="F87" s="37">
        <v>80</v>
      </c>
      <c r="G87" s="38" t="s">
        <v>142</v>
      </c>
      <c r="H87" s="38" t="s">
        <v>120</v>
      </c>
      <c r="I87" s="39">
        <f>IF(F87/E87*100&gt;100,100,F87/E87*100)</f>
        <v>100</v>
      </c>
      <c r="J87" s="76">
        <f>IF(E92=0,"",(I87+I88+I89+I90+I91)/5)</f>
        <v>94.46666666666667</v>
      </c>
      <c r="K87" s="87">
        <f>IF(E92&gt;0,(J87+J92)/2,0)</f>
        <v>97.76524822695036</v>
      </c>
    </row>
    <row r="88" spans="1:11" ht="48" customHeight="1">
      <c r="A88" s="93"/>
      <c r="B88" s="9" t="s">
        <v>18</v>
      </c>
      <c r="C88" s="10" t="s">
        <v>19</v>
      </c>
      <c r="D88" s="12" t="s">
        <v>36</v>
      </c>
      <c r="E88" s="11">
        <v>0</v>
      </c>
      <c r="F88" s="13">
        <v>100</v>
      </c>
      <c r="G88" s="6" t="s">
        <v>108</v>
      </c>
      <c r="H88" s="6" t="s">
        <v>125</v>
      </c>
      <c r="I88" s="20">
        <f>IF(F88=0,100,IF(F88&gt;5,89,90))</f>
        <v>89</v>
      </c>
      <c r="J88" s="32" t="str">
        <f>IF(E92=0,"",IF(J87&gt;=100,"Гос.задание по гос.услуге выполнено в полном объеме",IF(J87&gt;=90,"Гос.задание по гос.услуге выполнено",IF(J87&lt;90,"Гос.задание по гос.услуге не выполнено"))))</f>
        <v>Гос.задание по гос.услуге выполнено</v>
      </c>
      <c r="K88" s="79" t="str">
        <f>IF(E92=0,"",IF(K87&gt;=100,"Гос.задание по гос.услуге выполнено в полном объеме",IF(K87&gt;=90,"Гос.задание по гос.услуге выполнено",IF(K87&lt;90,"Гос.задание по гос.услуге не выполнено"))))</f>
        <v>Гос.задание по гос.услуге выполнено</v>
      </c>
    </row>
    <row r="89" spans="1:11" ht="69" customHeight="1">
      <c r="A89" s="93"/>
      <c r="B89" s="9" t="s">
        <v>20</v>
      </c>
      <c r="C89" s="10" t="s">
        <v>16</v>
      </c>
      <c r="D89" s="12" t="s">
        <v>21</v>
      </c>
      <c r="E89" s="11">
        <v>90</v>
      </c>
      <c r="F89" s="7">
        <v>90</v>
      </c>
      <c r="G89" s="6" t="s">
        <v>130</v>
      </c>
      <c r="H89" s="6" t="s">
        <v>112</v>
      </c>
      <c r="I89" s="20">
        <f>IF(F89/E89*100&gt;100,100,F89/E89*100)</f>
        <v>100</v>
      </c>
      <c r="J89" s="57"/>
      <c r="K89" s="56"/>
    </row>
    <row r="90" spans="1:11" ht="54" customHeight="1">
      <c r="A90" s="93"/>
      <c r="B90" s="9" t="s">
        <v>22</v>
      </c>
      <c r="C90" s="10" t="s">
        <v>16</v>
      </c>
      <c r="D90" s="12" t="s">
        <v>23</v>
      </c>
      <c r="E90" s="11">
        <v>90</v>
      </c>
      <c r="F90" s="7">
        <v>90</v>
      </c>
      <c r="G90" s="6" t="s">
        <v>128</v>
      </c>
      <c r="H90" s="6" t="s">
        <v>129</v>
      </c>
      <c r="I90" s="20">
        <f>IF(F90/E90*100&gt;100,100,F90/E90*100)</f>
        <v>100</v>
      </c>
      <c r="J90" s="57"/>
      <c r="K90" s="56"/>
    </row>
    <row r="91" spans="1:11" ht="19.5" customHeight="1">
      <c r="A91" s="93"/>
      <c r="B91" s="9" t="s">
        <v>24</v>
      </c>
      <c r="C91" s="10" t="s">
        <v>16</v>
      </c>
      <c r="D91" s="12" t="s">
        <v>25</v>
      </c>
      <c r="E91" s="11">
        <v>60</v>
      </c>
      <c r="F91" s="7">
        <v>50</v>
      </c>
      <c r="G91" s="6" t="s">
        <v>126</v>
      </c>
      <c r="H91" s="6" t="s">
        <v>124</v>
      </c>
      <c r="I91" s="20">
        <f>IF(F91/E91*100&gt;100,100,F91/E91*100)</f>
        <v>83.33333333333334</v>
      </c>
      <c r="J91" s="57"/>
      <c r="K91" s="56"/>
    </row>
    <row r="92" spans="1:11" ht="42.75" customHeight="1" thickBot="1">
      <c r="A92" s="64" t="s">
        <v>3</v>
      </c>
      <c r="B92" s="40" t="s">
        <v>14</v>
      </c>
      <c r="C92" s="41" t="s">
        <v>4</v>
      </c>
      <c r="D92" s="41"/>
      <c r="E92" s="41">
        <f>VLOOKUP(A5,$B$191:$Y$207,13)</f>
        <v>188</v>
      </c>
      <c r="F92" s="42">
        <v>190</v>
      </c>
      <c r="G92" s="43" t="s">
        <v>127</v>
      </c>
      <c r="H92" s="38" t="s">
        <v>120</v>
      </c>
      <c r="I92" s="53">
        <f>IF(E92=0,0,IF(F92/E92*100&gt;110,110,F92/E92*100))</f>
        <v>101.06382978723406</v>
      </c>
      <c r="J92" s="44">
        <f>IF(E92=0,"",I92)</f>
        <v>101.06382978723406</v>
      </c>
      <c r="K92" s="61" t="str">
        <f>IF(E92=0,"",IF(J92&gt;=100,"Гос.задание по гос.услуге выполнено в полном объеме",IF(J92&gt;=90,"Гос.задание по гос.услуге выполнено",IF(J92&lt;90,"Гос.задание по гос.услуге не выполнено"))))</f>
        <v>Гос.задание по гос.услуге выполнено в полном объеме</v>
      </c>
    </row>
    <row r="93" spans="1:11" ht="28.5" customHeight="1">
      <c r="A93" s="89" t="s">
        <v>101</v>
      </c>
      <c r="B93" s="90"/>
      <c r="C93" s="90"/>
      <c r="D93" s="90"/>
      <c r="E93" s="90"/>
      <c r="F93" s="90"/>
      <c r="G93" s="90"/>
      <c r="H93" s="90"/>
      <c r="I93" s="90"/>
      <c r="J93" s="90"/>
      <c r="K93" s="91"/>
    </row>
    <row r="94" spans="1:11" ht="77.25" customHeight="1">
      <c r="A94" s="92" t="s">
        <v>34</v>
      </c>
      <c r="B94" s="33" t="s">
        <v>15</v>
      </c>
      <c r="C94" s="34" t="s">
        <v>16</v>
      </c>
      <c r="D94" s="35" t="s">
        <v>17</v>
      </c>
      <c r="E94" s="36">
        <v>80</v>
      </c>
      <c r="F94" s="37">
        <v>80</v>
      </c>
      <c r="G94" s="38" t="s">
        <v>108</v>
      </c>
      <c r="H94" s="38" t="s">
        <v>110</v>
      </c>
      <c r="I94" s="39">
        <f>IF(F94/E94*100&gt;100,100,F94/E94*100)</f>
        <v>100</v>
      </c>
      <c r="J94" s="76">
        <f>IF(E99=0,"",(I94+I95+I96+I97+I98)/5)</f>
      </c>
      <c r="K94" s="87">
        <f>IF(E99&gt;0,(J94+J99)/2,0)</f>
        <v>0</v>
      </c>
    </row>
    <row r="95" spans="1:11" ht="50.25" customHeight="1">
      <c r="A95" s="93"/>
      <c r="B95" s="9" t="s">
        <v>18</v>
      </c>
      <c r="C95" s="10" t="s">
        <v>19</v>
      </c>
      <c r="D95" s="12" t="s">
        <v>36</v>
      </c>
      <c r="E95" s="11">
        <v>0</v>
      </c>
      <c r="F95" s="13">
        <v>100</v>
      </c>
      <c r="G95" s="6" t="s">
        <v>108</v>
      </c>
      <c r="H95" s="6" t="s">
        <v>111</v>
      </c>
      <c r="I95" s="20">
        <f>IF(F95=0,100,IF(F95&gt;5,89,90))</f>
        <v>89</v>
      </c>
      <c r="J95" s="32">
        <f>IF(E99=0,"",IF(J94&gt;=100,"Гос.задание по гос.услуге выполнено в полном объеме",IF(J94&gt;=90,"Гос.задание по гос.услуге выполнено",IF(J94&lt;90,"Гос.задание по гос.услуге не выполнено"))))</f>
      </c>
      <c r="K95" s="79">
        <f>IF(E99=0,"",IF(K94&gt;=100,"Гос.задание по гос.услуге выполнено в полном объеме",IF(K94&gt;=90,"Гос.задание по гос.услуге выполнено",IF(K94&lt;90,"Гос.задание по гос.услуге не выполнено"))))</f>
      </c>
    </row>
    <row r="96" spans="1:11" ht="69" customHeight="1">
      <c r="A96" s="93"/>
      <c r="B96" s="9" t="s">
        <v>20</v>
      </c>
      <c r="C96" s="10" t="s">
        <v>16</v>
      </c>
      <c r="D96" s="12" t="s">
        <v>21</v>
      </c>
      <c r="E96" s="11">
        <v>90</v>
      </c>
      <c r="F96" s="7">
        <v>90</v>
      </c>
      <c r="G96" s="6" t="s">
        <v>108</v>
      </c>
      <c r="H96" s="6" t="s">
        <v>112</v>
      </c>
      <c r="I96" s="20">
        <f>IF(F96/E96*100&gt;100,100,F96/E96*100)</f>
        <v>100</v>
      </c>
      <c r="J96" s="57"/>
      <c r="K96" s="56"/>
    </row>
    <row r="97" spans="1:11" ht="54" customHeight="1">
      <c r="A97" s="93"/>
      <c r="B97" s="9" t="s">
        <v>22</v>
      </c>
      <c r="C97" s="10" t="s">
        <v>16</v>
      </c>
      <c r="D97" s="12" t="s">
        <v>23</v>
      </c>
      <c r="E97" s="11">
        <v>90</v>
      </c>
      <c r="F97" s="7">
        <v>90</v>
      </c>
      <c r="G97" s="6" t="s">
        <v>108</v>
      </c>
      <c r="H97" s="6" t="s">
        <v>113</v>
      </c>
      <c r="I97" s="20">
        <f>IF(F97/E97*100&gt;100,100,F97/E97*100)</f>
        <v>100</v>
      </c>
      <c r="J97" s="57"/>
      <c r="K97" s="56"/>
    </row>
    <row r="98" spans="1:11" ht="19.5" customHeight="1">
      <c r="A98" s="93"/>
      <c r="B98" s="9" t="s">
        <v>24</v>
      </c>
      <c r="C98" s="10" t="s">
        <v>16</v>
      </c>
      <c r="D98" s="12" t="s">
        <v>25</v>
      </c>
      <c r="E98" s="11">
        <v>60</v>
      </c>
      <c r="F98" s="7">
        <v>50</v>
      </c>
      <c r="G98" s="6" t="s">
        <v>108</v>
      </c>
      <c r="H98" s="6" t="s">
        <v>109</v>
      </c>
      <c r="I98" s="20">
        <f>IF(F98/E98*100&gt;100,100,F98/E98*100)</f>
        <v>83.33333333333334</v>
      </c>
      <c r="J98" s="57"/>
      <c r="K98" s="56"/>
    </row>
    <row r="99" spans="1:11" ht="42.75" customHeight="1" thickBot="1">
      <c r="A99" s="64" t="s">
        <v>3</v>
      </c>
      <c r="B99" s="40" t="s">
        <v>14</v>
      </c>
      <c r="C99" s="41" t="s">
        <v>4</v>
      </c>
      <c r="D99" s="41"/>
      <c r="E99" s="41">
        <f>VLOOKUP(A5,$B$191:$Y$207,14)</f>
        <v>0</v>
      </c>
      <c r="F99" s="42">
        <v>0</v>
      </c>
      <c r="G99" s="43" t="s">
        <v>108</v>
      </c>
      <c r="H99" s="43" t="s">
        <v>110</v>
      </c>
      <c r="I99" s="53">
        <f>IF(E99=0,0,IF(F99/E99*100&gt;110,110,F99/E99*100))</f>
        <v>0</v>
      </c>
      <c r="J99" s="44">
        <f>IF(E99=0,"",I99)</f>
      </c>
      <c r="K99" s="61">
        <f>IF(E99=0,"",IF(J99&gt;=100,"Гос.задание по гос.услуге выполнено в полном объеме",IF(J99&gt;=90,"Гос.задание по гос.услуге выполнено",IF(J99&lt;90,"Гос.задание по гос.услуге не выполнено"))))</f>
      </c>
    </row>
    <row r="100" spans="1:11" ht="28.5" customHeight="1">
      <c r="A100" s="89" t="s">
        <v>102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1"/>
    </row>
    <row r="101" spans="1:11" ht="77.25" customHeight="1">
      <c r="A101" s="92" t="s">
        <v>34</v>
      </c>
      <c r="B101" s="33" t="s">
        <v>15</v>
      </c>
      <c r="C101" s="34" t="s">
        <v>16</v>
      </c>
      <c r="D101" s="35" t="s">
        <v>17</v>
      </c>
      <c r="E101" s="36">
        <v>80</v>
      </c>
      <c r="F101" s="37">
        <v>80</v>
      </c>
      <c r="G101" s="38" t="s">
        <v>108</v>
      </c>
      <c r="H101" s="38" t="s">
        <v>110</v>
      </c>
      <c r="I101" s="39">
        <f>IF(F101/E101*100&gt;100,100,F101/E101*100)</f>
        <v>100</v>
      </c>
      <c r="J101" s="76">
        <f>IF(E106=0,"",(I101+I102+I103+I104+I105)/5)</f>
      </c>
      <c r="K101" s="87">
        <f>IF(E106&gt;0,(J101+J106)/2,0)</f>
        <v>0</v>
      </c>
    </row>
    <row r="102" spans="1:11" ht="48" customHeight="1">
      <c r="A102" s="93"/>
      <c r="B102" s="9" t="s">
        <v>18</v>
      </c>
      <c r="C102" s="10" t="s">
        <v>19</v>
      </c>
      <c r="D102" s="12" t="s">
        <v>36</v>
      </c>
      <c r="E102" s="11">
        <v>0</v>
      </c>
      <c r="F102" s="13">
        <v>100</v>
      </c>
      <c r="G102" s="6" t="s">
        <v>108</v>
      </c>
      <c r="H102" s="6" t="s">
        <v>111</v>
      </c>
      <c r="I102" s="20">
        <f>IF(F102=0,100,IF(F102&gt;5,89,90))</f>
        <v>89</v>
      </c>
      <c r="J102" s="32">
        <f>IF(E106=0,"",IF(J101&gt;=100,"Гос.задание по гос.услуге выполнено в полном объеме",IF(J101&gt;=90,"Гос.задание по гос.услуге выполнено",IF(J101&lt;90,"Гос.задание по гос.услуге не выполнено"))))</f>
      </c>
      <c r="K102" s="79">
        <f>IF(E106=0,"",IF(K101&gt;=100,"Гос.задание по гос.услуге выполнено в полном объеме",IF(K101&gt;=90,"Гос.задание по гос.услуге выполнено",IF(K101&lt;90,"Гос.задание по гос.услуге не выполнено"))))</f>
      </c>
    </row>
    <row r="103" spans="1:11" ht="69" customHeight="1">
      <c r="A103" s="93"/>
      <c r="B103" s="9" t="s">
        <v>20</v>
      </c>
      <c r="C103" s="10" t="s">
        <v>16</v>
      </c>
      <c r="D103" s="12" t="s">
        <v>21</v>
      </c>
      <c r="E103" s="11">
        <v>90</v>
      </c>
      <c r="F103" s="7">
        <v>90</v>
      </c>
      <c r="G103" s="6" t="s">
        <v>108</v>
      </c>
      <c r="H103" s="6" t="s">
        <v>112</v>
      </c>
      <c r="I103" s="20">
        <f>IF(F103/E103*100&gt;100,100,F103/E103*100)</f>
        <v>100</v>
      </c>
      <c r="J103" s="57"/>
      <c r="K103" s="56"/>
    </row>
    <row r="104" spans="1:11" ht="54" customHeight="1">
      <c r="A104" s="93"/>
      <c r="B104" s="9" t="s">
        <v>22</v>
      </c>
      <c r="C104" s="10" t="s">
        <v>16</v>
      </c>
      <c r="D104" s="12" t="s">
        <v>23</v>
      </c>
      <c r="E104" s="11">
        <v>90</v>
      </c>
      <c r="F104" s="7">
        <v>90</v>
      </c>
      <c r="G104" s="6" t="s">
        <v>108</v>
      </c>
      <c r="H104" s="6" t="s">
        <v>113</v>
      </c>
      <c r="I104" s="20">
        <f>IF(F104/E104*100&gt;100,100,F104/E104*100)</f>
        <v>100</v>
      </c>
      <c r="J104" s="57"/>
      <c r="K104" s="56"/>
    </row>
    <row r="105" spans="1:11" ht="19.5" customHeight="1">
      <c r="A105" s="93"/>
      <c r="B105" s="9" t="s">
        <v>24</v>
      </c>
      <c r="C105" s="10" t="s">
        <v>16</v>
      </c>
      <c r="D105" s="12" t="s">
        <v>25</v>
      </c>
      <c r="E105" s="11">
        <v>60</v>
      </c>
      <c r="F105" s="7">
        <v>60</v>
      </c>
      <c r="G105" s="6" t="s">
        <v>108</v>
      </c>
      <c r="H105" s="6" t="s">
        <v>109</v>
      </c>
      <c r="I105" s="20">
        <f>IF(F105/E105*100&gt;100,100,F105/E105*100)</f>
        <v>100</v>
      </c>
      <c r="J105" s="57"/>
      <c r="K105" s="56"/>
    </row>
    <row r="106" spans="1:11" ht="42.75" customHeight="1" thickBot="1">
      <c r="A106" s="64" t="s">
        <v>3</v>
      </c>
      <c r="B106" s="40" t="s">
        <v>14</v>
      </c>
      <c r="C106" s="41" t="s">
        <v>4</v>
      </c>
      <c r="D106" s="41"/>
      <c r="E106" s="41">
        <f>VLOOKUP(A5,$B$191:$Y$207,15)</f>
        <v>0</v>
      </c>
      <c r="F106" s="42">
        <v>0</v>
      </c>
      <c r="G106" s="43" t="s">
        <v>108</v>
      </c>
      <c r="H106" s="38" t="s">
        <v>120</v>
      </c>
      <c r="I106" s="53">
        <f>IF(E106=0,0,IF(F106/E106*100&gt;110,110,F106/E106*100))</f>
        <v>0</v>
      </c>
      <c r="J106" s="44">
        <f>IF(E106=0,"",I106)</f>
      </c>
      <c r="K106" s="61">
        <f>IF(E106=0,"",IF(J106&gt;=100,"Гос.задание по гос.услуге выполнено в полном объеме",IF(J106&gt;=90,"Гос.задание по гос.услуге выполнено",IF(J106&lt;90,"Гос.задание по гос.услуге не выполнено"))))</f>
      </c>
    </row>
    <row r="108" spans="1:15" ht="23.25" customHeight="1">
      <c r="A108" s="102" t="s">
        <v>44</v>
      </c>
      <c r="B108" s="100" t="s">
        <v>45</v>
      </c>
      <c r="C108" s="100"/>
      <c r="D108" s="100"/>
      <c r="E108" s="100"/>
      <c r="F108" s="100"/>
      <c r="G108" s="100"/>
      <c r="H108" s="100"/>
      <c r="I108" s="100"/>
      <c r="J108" s="100"/>
      <c r="K108" s="88">
        <f>IF((K113+K118+K123+K128+K133+K138+K143)=0,0,(K113+K118+K123+K128+K133+K138+K143)/(COUNTIF(K113,"&gt;0")+COUNTIF(K118,"&gt;0")+COUNTIF(K123,"&gt;0")+COUNTIF(K128,"&gt;0")+COUNTIF(K133,"&gt;0")+COUNTIF(K138,"&gt;0")+COUNTIF(K143,"&gt;0")))</f>
        <v>100.86666666666667</v>
      </c>
      <c r="L108" s="8"/>
      <c r="M108" s="8"/>
      <c r="N108" s="8"/>
      <c r="O108" s="8"/>
    </row>
    <row r="109" spans="1:15" ht="53.25" customHeight="1">
      <c r="A109" s="103"/>
      <c r="B109" s="101"/>
      <c r="C109" s="101"/>
      <c r="D109" s="101"/>
      <c r="E109" s="101"/>
      <c r="F109" s="101"/>
      <c r="G109" s="101"/>
      <c r="H109" s="101"/>
      <c r="I109" s="101"/>
      <c r="J109" s="101"/>
      <c r="K109" s="78" t="str">
        <f>IF(K108=0,"",IF(K108&gt;=100,"Гос.задание по гос.услуге выполнено",IF(K108&gt;=90,"Гос.задание по гос.услуге в целом выполнено",IF(K108&lt;90,"Гос.задание по гос.услуге не выполнено"))))</f>
        <v>Гос.задание по гос.услуге выполнено</v>
      </c>
      <c r="L109" s="8"/>
      <c r="M109" s="8"/>
      <c r="N109" s="8"/>
      <c r="O109" s="8"/>
    </row>
    <row r="110" spans="1:11" ht="75" customHeight="1">
      <c r="A110" s="104" t="s">
        <v>7</v>
      </c>
      <c r="B110" s="1" t="s">
        <v>0</v>
      </c>
      <c r="C110" s="1" t="s">
        <v>1</v>
      </c>
      <c r="D110" s="1" t="s">
        <v>2</v>
      </c>
      <c r="E110" s="1" t="s">
        <v>32</v>
      </c>
      <c r="F110" s="1" t="s">
        <v>33</v>
      </c>
      <c r="G110" s="1" t="s">
        <v>6</v>
      </c>
      <c r="H110" s="1" t="s">
        <v>5</v>
      </c>
      <c r="I110" s="1" t="s">
        <v>30</v>
      </c>
      <c r="J110" s="1" t="s">
        <v>31</v>
      </c>
      <c r="K110" s="30" t="s">
        <v>13</v>
      </c>
    </row>
    <row r="111" spans="1:11" ht="18" customHeight="1" thickBot="1">
      <c r="A111" s="105"/>
      <c r="B111" s="31">
        <v>1</v>
      </c>
      <c r="C111" s="31">
        <v>2</v>
      </c>
      <c r="D111" s="31">
        <v>3</v>
      </c>
      <c r="E111" s="31">
        <v>4</v>
      </c>
      <c r="F111" s="31">
        <v>5</v>
      </c>
      <c r="G111" s="31">
        <v>6</v>
      </c>
      <c r="H111" s="31">
        <v>7</v>
      </c>
      <c r="I111" s="31">
        <v>8</v>
      </c>
      <c r="J111" s="24">
        <v>9</v>
      </c>
      <c r="K111" s="21">
        <v>10</v>
      </c>
    </row>
    <row r="112" spans="1:11" ht="30.75" customHeight="1">
      <c r="A112" s="89" t="s">
        <v>35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1"/>
    </row>
    <row r="113" spans="1:11" ht="77.25" customHeight="1">
      <c r="A113" s="92" t="s">
        <v>34</v>
      </c>
      <c r="B113" s="33" t="s">
        <v>15</v>
      </c>
      <c r="C113" s="34" t="s">
        <v>16</v>
      </c>
      <c r="D113" s="35" t="s">
        <v>46</v>
      </c>
      <c r="E113" s="36">
        <v>100</v>
      </c>
      <c r="F113" s="37">
        <v>100</v>
      </c>
      <c r="G113" s="38" t="s">
        <v>143</v>
      </c>
      <c r="H113" s="38" t="s">
        <v>120</v>
      </c>
      <c r="I113" s="39">
        <f>IF(F113/E113*100&gt;100,100,F113/E113*100)</f>
        <v>100</v>
      </c>
      <c r="J113" s="76">
        <f>IF(E116=0,"",(I113+I114+I115)/3)</f>
        <v>100</v>
      </c>
      <c r="K113" s="87">
        <f>IF(E116&gt;0,(J113+J116)/2,0)</f>
        <v>105</v>
      </c>
    </row>
    <row r="114" spans="1:11" ht="48" customHeight="1">
      <c r="A114" s="93"/>
      <c r="B114" s="9" t="s">
        <v>26</v>
      </c>
      <c r="C114" s="10" t="s">
        <v>16</v>
      </c>
      <c r="D114" s="12" t="s">
        <v>47</v>
      </c>
      <c r="E114" s="11">
        <v>90</v>
      </c>
      <c r="F114" s="13">
        <v>90</v>
      </c>
      <c r="G114" s="6" t="s">
        <v>130</v>
      </c>
      <c r="H114" s="6" t="s">
        <v>112</v>
      </c>
      <c r="I114" s="39">
        <f>IF(F114/E114*100&gt;100,100,F114/E114*100)</f>
        <v>100</v>
      </c>
      <c r="J114" s="32" t="str">
        <f>IF(E116=0,"",IF(J113&gt;=100,"Гос.задание по гос.услуге выполнено в полном объеме",IF(J113&gt;=90,"Гос.задание по гос.услуге выполнено",IF(J113&lt;90,"Гос.задание по гос.услуге не выполнено"))))</f>
        <v>Гос.задание по гос.услуге выполнено в полном объеме</v>
      </c>
      <c r="K114" s="79" t="str">
        <f>IF(E116=0,"",IF(K113&gt;=100,"Гос.задание по гос.услуге выполнено в полном объеме",IF(K113&gt;=90,"Гос.задание по гос.услуге выполнено",IF(K113&lt;90,"Гос.задание по гос.услуге не выполнено"))))</f>
        <v>Гос.задание по гос.услуге выполнено в полном объеме</v>
      </c>
    </row>
    <row r="115" spans="1:11" ht="51" customHeight="1">
      <c r="A115" s="93"/>
      <c r="B115" s="9" t="s">
        <v>27</v>
      </c>
      <c r="C115" s="10" t="s">
        <v>16</v>
      </c>
      <c r="D115" s="12" t="s">
        <v>48</v>
      </c>
      <c r="E115" s="11">
        <v>90</v>
      </c>
      <c r="F115" s="7">
        <v>90</v>
      </c>
      <c r="G115" s="6" t="s">
        <v>128</v>
      </c>
      <c r="H115" s="6" t="s">
        <v>129</v>
      </c>
      <c r="I115" s="20">
        <f>IF(F115/E115*100&gt;100,100,F115/E115*100)</f>
        <v>100</v>
      </c>
      <c r="J115" s="57"/>
      <c r="K115" s="56"/>
    </row>
    <row r="116" spans="1:11" ht="42.75" customHeight="1" thickBot="1">
      <c r="A116" s="64" t="s">
        <v>3</v>
      </c>
      <c r="B116" s="40" t="s">
        <v>14</v>
      </c>
      <c r="C116" s="41" t="s">
        <v>4</v>
      </c>
      <c r="D116" s="41"/>
      <c r="E116" s="41">
        <f>VLOOKUP(A5,$B$191:$Y$207,16)</f>
        <v>3</v>
      </c>
      <c r="F116" s="42">
        <v>4</v>
      </c>
      <c r="G116" s="43" t="s">
        <v>127</v>
      </c>
      <c r="H116" s="38" t="s">
        <v>120</v>
      </c>
      <c r="I116" s="53">
        <f>IF(E116=0,0,IF(F116/E116*100&gt;110,110,F116/E116*100))</f>
        <v>110</v>
      </c>
      <c r="J116" s="44">
        <f>IF(E116=0,"",I116)</f>
        <v>110</v>
      </c>
      <c r="K116" s="61" t="str">
        <f>IF(E116=0,"",IF(J116&gt;=100,"Гос.задание по гос.услуге выполнено в полном объеме",IF(J116&gt;=90,"Гос.задание по гос.услуге выполнено",IF(J116&lt;90,"Гос.задание по гос.услуге не выполнено"))))</f>
        <v>Гос.задание по гос.услуге выполнено в полном объеме</v>
      </c>
    </row>
    <row r="117" spans="1:11" ht="30.75" customHeight="1">
      <c r="A117" s="89" t="s">
        <v>37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1"/>
    </row>
    <row r="118" spans="1:11" ht="77.25" customHeight="1">
      <c r="A118" s="92" t="s">
        <v>34</v>
      </c>
      <c r="B118" s="33" t="s">
        <v>15</v>
      </c>
      <c r="C118" s="34" t="s">
        <v>16</v>
      </c>
      <c r="D118" s="35" t="s">
        <v>46</v>
      </c>
      <c r="E118" s="36">
        <v>100</v>
      </c>
      <c r="F118" s="37">
        <v>100</v>
      </c>
      <c r="G118" s="38" t="s">
        <v>144</v>
      </c>
      <c r="H118" s="38" t="s">
        <v>120</v>
      </c>
      <c r="I118" s="39">
        <f>IF(F118/E118*100&gt;100,100,F118/E118*100)</f>
        <v>100</v>
      </c>
      <c r="J118" s="76">
        <f>IF(E121=0,"",(I118+I119+I120)/3)</f>
        <v>100</v>
      </c>
      <c r="K118" s="87">
        <f>IF(E121&gt;0,(J118+J121)/2,0)</f>
        <v>100</v>
      </c>
    </row>
    <row r="119" spans="1:11" ht="48" customHeight="1">
      <c r="A119" s="93"/>
      <c r="B119" s="9" t="s">
        <v>26</v>
      </c>
      <c r="C119" s="10" t="s">
        <v>16</v>
      </c>
      <c r="D119" s="12" t="s">
        <v>47</v>
      </c>
      <c r="E119" s="11">
        <v>90</v>
      </c>
      <c r="F119" s="13">
        <v>90</v>
      </c>
      <c r="G119" s="6" t="s">
        <v>130</v>
      </c>
      <c r="H119" s="6" t="s">
        <v>112</v>
      </c>
      <c r="I119" s="39">
        <f>IF(F119/E119*100&gt;100,100,F119/E119*100)</f>
        <v>100</v>
      </c>
      <c r="J119" s="32" t="str">
        <f>IF(E121=0,"",IF(J118&gt;=100,"Гос.задание по гос.услуге выполнено в полном объеме",IF(J118&gt;=90,"Гос.задание по гос.услуге выполнено",IF(J118&lt;90,"Гос.задание по гос.услуге не выполнено"))))</f>
        <v>Гос.задание по гос.услуге выполнено в полном объеме</v>
      </c>
      <c r="K119" s="79" t="str">
        <f>IF(E121=0,"",IF(K118&gt;=100,"Гос.задание по гос.услуге выполнено в полном объеме",IF(K118&gt;=90,"Гос.задание по гос.услуге выполнено",IF(K118&lt;90,"Гос.задание по гос.услуге не выполнено"))))</f>
        <v>Гос.задание по гос.услуге выполнено в полном объеме</v>
      </c>
    </row>
    <row r="120" spans="1:11" ht="51" customHeight="1">
      <c r="A120" s="93"/>
      <c r="B120" s="9" t="s">
        <v>27</v>
      </c>
      <c r="C120" s="10" t="s">
        <v>16</v>
      </c>
      <c r="D120" s="12" t="s">
        <v>48</v>
      </c>
      <c r="E120" s="11">
        <v>90</v>
      </c>
      <c r="F120" s="7">
        <v>90</v>
      </c>
      <c r="G120" s="6" t="s">
        <v>128</v>
      </c>
      <c r="H120" s="6" t="s">
        <v>129</v>
      </c>
      <c r="I120" s="20">
        <f>IF(F120/E120*100&gt;100,100,F120/E120*100)</f>
        <v>100</v>
      </c>
      <c r="J120" s="57"/>
      <c r="K120" s="56"/>
    </row>
    <row r="121" spans="1:11" ht="42.75" customHeight="1" thickBot="1">
      <c r="A121" s="64" t="s">
        <v>3</v>
      </c>
      <c r="B121" s="40" t="s">
        <v>14</v>
      </c>
      <c r="C121" s="41" t="s">
        <v>4</v>
      </c>
      <c r="D121" s="41"/>
      <c r="E121" s="41">
        <f>VLOOKUP(A5,$B$191:$Y$207,17)</f>
        <v>2</v>
      </c>
      <c r="F121" s="42">
        <v>2</v>
      </c>
      <c r="G121" s="43" t="s">
        <v>127</v>
      </c>
      <c r="H121" s="38" t="s">
        <v>120</v>
      </c>
      <c r="I121" s="53">
        <f>IF(E121=0,0,IF(F121/E121*100&gt;110,110,F121/E121*100))</f>
        <v>100</v>
      </c>
      <c r="J121" s="44">
        <f>IF(E121=0,"",I121)</f>
        <v>100</v>
      </c>
      <c r="K121" s="61" t="str">
        <f>IF(E121=0,"",IF(J121&gt;=100,"Гос.задание по гос.услуге выполнено в полном объеме",IF(J121&gt;=90,"Гос.задание по гос.услуге выполнено",IF(J121&lt;90,"Гос.задание по гос.услуге не выполнено"))))</f>
        <v>Гос.задание по гос.услуге выполнено в полном объеме</v>
      </c>
    </row>
    <row r="122" spans="1:11" ht="37.5" customHeight="1">
      <c r="A122" s="89" t="s">
        <v>42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1"/>
    </row>
    <row r="123" spans="1:11" ht="77.25" customHeight="1">
      <c r="A123" s="92" t="s">
        <v>34</v>
      </c>
      <c r="B123" s="33" t="s">
        <v>15</v>
      </c>
      <c r="C123" s="34" t="s">
        <v>16</v>
      </c>
      <c r="D123" s="35" t="s">
        <v>46</v>
      </c>
      <c r="E123" s="36">
        <v>100</v>
      </c>
      <c r="F123" s="37">
        <v>100</v>
      </c>
      <c r="G123" s="38" t="s">
        <v>144</v>
      </c>
      <c r="H123" s="38" t="s">
        <v>120</v>
      </c>
      <c r="I123" s="39">
        <f>IF(F123/E123*100&gt;100,100,F123/E123*100)</f>
        <v>100</v>
      </c>
      <c r="J123" s="76">
        <f>IF(E126=0,"",(I123+I124+I125)/3)</f>
        <v>100</v>
      </c>
      <c r="K123" s="87">
        <f>IF(E126&gt;0,(J123+J126)/2,0)</f>
        <v>105</v>
      </c>
    </row>
    <row r="124" spans="1:11" ht="55.5" customHeight="1">
      <c r="A124" s="93"/>
      <c r="B124" s="9" t="s">
        <v>26</v>
      </c>
      <c r="C124" s="10" t="s">
        <v>16</v>
      </c>
      <c r="D124" s="12" t="s">
        <v>47</v>
      </c>
      <c r="E124" s="11">
        <v>90</v>
      </c>
      <c r="F124" s="13">
        <v>90</v>
      </c>
      <c r="G124" s="6" t="s">
        <v>130</v>
      </c>
      <c r="H124" s="6" t="s">
        <v>112</v>
      </c>
      <c r="I124" s="39">
        <f>IF(F124/E124*100&gt;100,100,F124/E124*100)</f>
        <v>100</v>
      </c>
      <c r="J124" s="32" t="str">
        <f>IF(E126=0,"",IF(J123&gt;=100,"Гос.задание по гос.услуге выполнено в полном объеме",IF(J123&gt;=90,"Гос.задание по гос.услуге выполнено",IF(J123&lt;90,"Гос.задание по гос.услуге не выполнено"))))</f>
        <v>Гос.задание по гос.услуге выполнено в полном объеме</v>
      </c>
      <c r="K124" s="79" t="str">
        <f>IF(E126=0,"",IF(K123&gt;=100,"Гос.задание по гос.услуге выполнено в полном объеме",IF(K123&gt;=90,"Гос.задание по гос.услуге выполнено",IF(K123&lt;90,"Гос.задание по гос.услуге не выполнено"))))</f>
        <v>Гос.задание по гос.услуге выполнено в полном объеме</v>
      </c>
    </row>
    <row r="125" spans="1:11" ht="51" customHeight="1">
      <c r="A125" s="93"/>
      <c r="B125" s="9" t="s">
        <v>27</v>
      </c>
      <c r="C125" s="10" t="s">
        <v>16</v>
      </c>
      <c r="D125" s="12" t="s">
        <v>48</v>
      </c>
      <c r="E125" s="11">
        <v>90</v>
      </c>
      <c r="F125" s="7">
        <v>90</v>
      </c>
      <c r="G125" s="6" t="s">
        <v>128</v>
      </c>
      <c r="H125" s="6" t="s">
        <v>129</v>
      </c>
      <c r="I125" s="20">
        <f>IF(F125/E125*100&gt;100,100,F125/E125*100)</f>
        <v>100</v>
      </c>
      <c r="J125" s="57"/>
      <c r="K125" s="56"/>
    </row>
    <row r="126" spans="1:11" ht="42.75" customHeight="1" thickBot="1">
      <c r="A126" s="64" t="s">
        <v>3</v>
      </c>
      <c r="B126" s="40" t="s">
        <v>14</v>
      </c>
      <c r="C126" s="41" t="s">
        <v>4</v>
      </c>
      <c r="D126" s="41"/>
      <c r="E126" s="41">
        <f>VLOOKUP(A5,$B$191:$Y$207,18)</f>
        <v>1</v>
      </c>
      <c r="F126" s="42">
        <v>2</v>
      </c>
      <c r="G126" s="43" t="s">
        <v>127</v>
      </c>
      <c r="H126" s="38" t="s">
        <v>120</v>
      </c>
      <c r="I126" s="53">
        <f>IF(E126=0,0,IF(F126/E126*100&gt;110,110,F126/E126*100))</f>
        <v>110</v>
      </c>
      <c r="J126" s="44">
        <f>IF(E126=0,"",I126)</f>
        <v>110</v>
      </c>
      <c r="K126" s="61" t="str">
        <f>IF(E126=0,"",IF(J126&gt;=100,"Гос.задание по гос.услуге выполнено в полном объеме",IF(J126&gt;=90,"Гос.задание по гос.услуге выполнено",IF(J126&lt;90,"Гос.задание по гос.услуге не выполнено"))))</f>
        <v>Гос.задание по гос.услуге выполнено в полном объеме</v>
      </c>
    </row>
    <row r="127" spans="1:11" ht="28.5" customHeight="1">
      <c r="A127" s="89" t="s">
        <v>39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1"/>
    </row>
    <row r="128" spans="1:11" ht="77.25" customHeight="1">
      <c r="A128" s="92" t="s">
        <v>34</v>
      </c>
      <c r="B128" s="33" t="s">
        <v>15</v>
      </c>
      <c r="C128" s="34" t="s">
        <v>16</v>
      </c>
      <c r="D128" s="35" t="s">
        <v>46</v>
      </c>
      <c r="E128" s="36">
        <v>100</v>
      </c>
      <c r="F128" s="37">
        <v>66</v>
      </c>
      <c r="G128" s="38" t="s">
        <v>145</v>
      </c>
      <c r="H128" s="38" t="s">
        <v>120</v>
      </c>
      <c r="I128" s="39">
        <f>IF(F128/E128*100&gt;100,100,F128/E128*100)</f>
        <v>66</v>
      </c>
      <c r="J128" s="76">
        <f>IF(E131=0,"",(I128+I129+I130)/3)</f>
        <v>88.66666666666667</v>
      </c>
      <c r="K128" s="87">
        <f>IF(E131&gt;0,(J128+J131)/2,0)</f>
        <v>94.33333333333334</v>
      </c>
    </row>
    <row r="129" spans="1:11" ht="50.25" customHeight="1">
      <c r="A129" s="93"/>
      <c r="B129" s="9" t="s">
        <v>26</v>
      </c>
      <c r="C129" s="10" t="s">
        <v>16</v>
      </c>
      <c r="D129" s="12" t="s">
        <v>47</v>
      </c>
      <c r="E129" s="11">
        <v>90</v>
      </c>
      <c r="F129" s="13">
        <v>90</v>
      </c>
      <c r="G129" s="6" t="s">
        <v>130</v>
      </c>
      <c r="H129" s="6" t="s">
        <v>112</v>
      </c>
      <c r="I129" s="39">
        <f>IF(F129/E129*100&gt;100,100,F129/E129*100)</f>
        <v>100</v>
      </c>
      <c r="J129" s="32" t="str">
        <f>IF(E131=0,"",IF(J128&gt;=100,"Гос.задание по гос.услуге выполнено в полном объеме",IF(J128&gt;=90,"Гос.задание по гос.услуге выполнено",IF(J128&lt;90,"Гос.задание по гос.услуге не выполнено"))))</f>
        <v>Гос.задание по гос.услуге не выполнено</v>
      </c>
      <c r="K129" s="79" t="str">
        <f>IF(E131=0,"",IF(K128&gt;=100,"Гос.задание по гос.услуге выполнено в полном объеме",IF(K128&gt;=90,"Гос.задание по гос.услуге выполнено",IF(K128&lt;90,"Гос.задание по гос.услуге не выполнено"))))</f>
        <v>Гос.задание по гос.услуге выполнено</v>
      </c>
    </row>
    <row r="130" spans="1:11" ht="51" customHeight="1">
      <c r="A130" s="93"/>
      <c r="B130" s="9" t="s">
        <v>27</v>
      </c>
      <c r="C130" s="10" t="s">
        <v>16</v>
      </c>
      <c r="D130" s="12" t="s">
        <v>48</v>
      </c>
      <c r="E130" s="11">
        <v>90</v>
      </c>
      <c r="F130" s="7">
        <v>90</v>
      </c>
      <c r="G130" s="6" t="s">
        <v>128</v>
      </c>
      <c r="H130" s="6" t="s">
        <v>129</v>
      </c>
      <c r="I130" s="20">
        <f>IF(F130/E130*100&gt;100,100,F130/E130*100)</f>
        <v>100</v>
      </c>
      <c r="J130" s="57"/>
      <c r="K130" s="56"/>
    </row>
    <row r="131" spans="1:11" ht="42.75" customHeight="1" thickBot="1">
      <c r="A131" s="64" t="s">
        <v>3</v>
      </c>
      <c r="B131" s="40" t="s">
        <v>14</v>
      </c>
      <c r="C131" s="41" t="s">
        <v>4</v>
      </c>
      <c r="D131" s="41"/>
      <c r="E131" s="41">
        <f>VLOOKUP(A5,$B$191:$Y$207,19)</f>
        <v>3</v>
      </c>
      <c r="F131" s="42">
        <v>3</v>
      </c>
      <c r="G131" s="43" t="s">
        <v>127</v>
      </c>
      <c r="H131" s="38" t="s">
        <v>120</v>
      </c>
      <c r="I131" s="53">
        <f>IF(E131=0,0,IF(F131/E131*100&gt;110,110,F131/E131*100))</f>
        <v>100</v>
      </c>
      <c r="J131" s="44">
        <f>IF(E131=0,"",I131)</f>
        <v>100</v>
      </c>
      <c r="K131" s="61" t="str">
        <f>IF(E131=0,"",IF(J131&gt;=100,"Гос.задание по гос.услуге выполнено в полном объеме",IF(J131&gt;=90,"Гос.задание по гос.услуге выполнено",IF(J131&lt;90,"Гос.задание по гос.услуге не выполнено"))))</f>
        <v>Гос.задание по гос.услуге выполнено в полном объеме</v>
      </c>
    </row>
    <row r="132" spans="1:11" ht="28.5" customHeight="1">
      <c r="A132" s="89" t="s">
        <v>40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1"/>
    </row>
    <row r="133" spans="1:11" ht="77.25" customHeight="1">
      <c r="A133" s="92" t="s">
        <v>34</v>
      </c>
      <c r="B133" s="33" t="s">
        <v>15</v>
      </c>
      <c r="C133" s="34" t="s">
        <v>16</v>
      </c>
      <c r="D133" s="35" t="s">
        <v>46</v>
      </c>
      <c r="E133" s="36">
        <v>100</v>
      </c>
      <c r="F133" s="37">
        <v>100</v>
      </c>
      <c r="G133" s="38" t="s">
        <v>146</v>
      </c>
      <c r="H133" s="38" t="s">
        <v>120</v>
      </c>
      <c r="I133" s="39">
        <f>IF(F133/E133*100&gt;100,100,F133/E133*100)</f>
        <v>100</v>
      </c>
      <c r="J133" s="76">
        <f>IF(E136=0,"",(I133+I134+I135)/3)</f>
        <v>100</v>
      </c>
      <c r="K133" s="87">
        <f>IF(E136&gt;0,(J133+J136)/2,0)</f>
        <v>100</v>
      </c>
    </row>
    <row r="134" spans="1:11" ht="52.5" customHeight="1">
      <c r="A134" s="93"/>
      <c r="B134" s="9" t="s">
        <v>26</v>
      </c>
      <c r="C134" s="10" t="s">
        <v>16</v>
      </c>
      <c r="D134" s="12" t="s">
        <v>47</v>
      </c>
      <c r="E134" s="11">
        <v>90</v>
      </c>
      <c r="F134" s="13">
        <v>90</v>
      </c>
      <c r="G134" s="6" t="s">
        <v>130</v>
      </c>
      <c r="H134" s="6" t="s">
        <v>112</v>
      </c>
      <c r="I134" s="39">
        <f>IF(F134/E134*100&gt;100,100,F134/E134*100)</f>
        <v>100</v>
      </c>
      <c r="J134" s="32" t="str">
        <f>IF(E136=0,"",IF(J133&gt;=100,"Гос.задание по гос.услуге выполнено в полном объеме",IF(J133&gt;=90,"Гос.задание по гос.услуге выполнено",IF(J133&lt;90,"Гос.задание по гос.услуге не выполнено"))))</f>
        <v>Гос.задание по гос.услуге выполнено в полном объеме</v>
      </c>
      <c r="K134" s="79" t="str">
        <f>IF(E136=0,"",IF(K133&gt;=100,"Гос.задание по гос.услуге выполнено в полном объеме",IF(K133&gt;=90,"Гос.задание по гос.услуге выполнено",IF(K133&lt;90,"Гос.задание по гос.услуге не выполнено"))))</f>
        <v>Гос.задание по гос.услуге выполнено в полном объеме</v>
      </c>
    </row>
    <row r="135" spans="1:11" ht="51" customHeight="1">
      <c r="A135" s="93"/>
      <c r="B135" s="9" t="s">
        <v>27</v>
      </c>
      <c r="C135" s="10" t="s">
        <v>16</v>
      </c>
      <c r="D135" s="12" t="s">
        <v>48</v>
      </c>
      <c r="E135" s="11">
        <v>90</v>
      </c>
      <c r="F135" s="7">
        <v>90</v>
      </c>
      <c r="G135" s="6" t="s">
        <v>128</v>
      </c>
      <c r="H135" s="6" t="s">
        <v>129</v>
      </c>
      <c r="I135" s="20">
        <f>IF(F135/E135*100&gt;100,100,F135/E135*100)</f>
        <v>100</v>
      </c>
      <c r="J135" s="57"/>
      <c r="K135" s="56"/>
    </row>
    <row r="136" spans="1:11" ht="42.75" customHeight="1" thickBot="1">
      <c r="A136" s="64" t="s">
        <v>3</v>
      </c>
      <c r="B136" s="40" t="s">
        <v>14</v>
      </c>
      <c r="C136" s="41" t="s">
        <v>4</v>
      </c>
      <c r="D136" s="41"/>
      <c r="E136" s="41">
        <f>VLOOKUP(A5,$B$191:$Y$207,20)</f>
        <v>2</v>
      </c>
      <c r="F136" s="42">
        <v>2</v>
      </c>
      <c r="G136" s="43" t="s">
        <v>127</v>
      </c>
      <c r="H136" s="38" t="s">
        <v>120</v>
      </c>
      <c r="I136" s="53">
        <f>IF(E136=0,0,IF(F136/E136*100&gt;110,110,F136/E136*100))</f>
        <v>100</v>
      </c>
      <c r="J136" s="44">
        <f>IF(E136=0,"",I136)</f>
        <v>100</v>
      </c>
      <c r="K136" s="61" t="str">
        <f>IF(E136=0,"",IF(J136&gt;=100,"Гос.задание по гос.услуге выполнено в полном объеме",IF(J136&gt;=90,"Гос.задание по гос.услуге выполнено",IF(J136&lt;90,"Гос.задание по гос.услуге не выполнено"))))</f>
        <v>Гос.задание по гос.услуге выполнено в полном объеме</v>
      </c>
    </row>
    <row r="137" spans="1:11" ht="28.5" customHeight="1">
      <c r="A137" s="89" t="s">
        <v>101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1"/>
    </row>
    <row r="138" spans="1:11" ht="77.25" customHeight="1">
      <c r="A138" s="92" t="s">
        <v>34</v>
      </c>
      <c r="B138" s="33" t="s">
        <v>15</v>
      </c>
      <c r="C138" s="34" t="s">
        <v>16</v>
      </c>
      <c r="D138" s="35" t="s">
        <v>46</v>
      </c>
      <c r="E138" s="36">
        <v>100</v>
      </c>
      <c r="F138" s="37">
        <v>100</v>
      </c>
      <c r="G138" s="38" t="s">
        <v>108</v>
      </c>
      <c r="H138" s="38" t="s">
        <v>114</v>
      </c>
      <c r="I138" s="39">
        <f>IF(F138/E138*100&gt;100,100,F138/E138*100)</f>
        <v>100</v>
      </c>
      <c r="J138" s="76">
        <f>IF(E141=0,"",(I138+I139+I140)/3)</f>
      </c>
      <c r="K138" s="87">
        <f>IF(E141&gt;0,(J138+J141)/2,0)</f>
        <v>0</v>
      </c>
    </row>
    <row r="139" spans="1:11" ht="50.25" customHeight="1">
      <c r="A139" s="93"/>
      <c r="B139" s="9" t="s">
        <v>26</v>
      </c>
      <c r="C139" s="10" t="s">
        <v>16</v>
      </c>
      <c r="D139" s="12" t="s">
        <v>47</v>
      </c>
      <c r="E139" s="11">
        <v>90</v>
      </c>
      <c r="F139" s="13">
        <v>90</v>
      </c>
      <c r="G139" s="6" t="s">
        <v>108</v>
      </c>
      <c r="H139" s="6" t="s">
        <v>115</v>
      </c>
      <c r="I139" s="39">
        <f>IF(F139/E139*100&gt;100,100,F139/E139*100)</f>
        <v>100</v>
      </c>
      <c r="J139" s="32">
        <f>IF(E141=0,"",IF(J138&gt;=100,"Гос.задание по гос.услуге выполнено в полном объеме",IF(J138&gt;=90,"Гос.задание по гос.услуге выполнено",IF(J138&lt;90,"Гос.задание по гос.услуге не выполнено"))))</f>
      </c>
      <c r="K139" s="79">
        <f>IF(E141=0,"",IF(K138&gt;=100,"Гос.задание по гос.услуге выполнено в полном объеме",IF(K138&gt;=90,"Гос.задание по гос.услуге выполнено",IF(K138&lt;90,"Гос.задание по гос.услуге не выполнено"))))</f>
      </c>
    </row>
    <row r="140" spans="1:11" ht="51" customHeight="1">
      <c r="A140" s="93"/>
      <c r="B140" s="9" t="s">
        <v>27</v>
      </c>
      <c r="C140" s="10" t="s">
        <v>16</v>
      </c>
      <c r="D140" s="12" t="s">
        <v>48</v>
      </c>
      <c r="E140" s="11">
        <v>90</v>
      </c>
      <c r="F140" s="7">
        <v>90</v>
      </c>
      <c r="G140" s="6" t="s">
        <v>108</v>
      </c>
      <c r="H140" s="6" t="s">
        <v>116</v>
      </c>
      <c r="I140" s="20">
        <f>IF(F140/E140*100&gt;100,100,F140/E140*100)</f>
        <v>100</v>
      </c>
      <c r="J140" s="57"/>
      <c r="K140" s="56"/>
    </row>
    <row r="141" spans="1:11" ht="42.75" customHeight="1" thickBot="1">
      <c r="A141" s="64" t="s">
        <v>3</v>
      </c>
      <c r="B141" s="40" t="s">
        <v>14</v>
      </c>
      <c r="C141" s="41" t="s">
        <v>4</v>
      </c>
      <c r="D141" s="41"/>
      <c r="E141" s="41">
        <f>VLOOKUP(A5,$B$191:$Y$207,21)</f>
        <v>0</v>
      </c>
      <c r="F141" s="42">
        <v>0</v>
      </c>
      <c r="G141" s="43" t="s">
        <v>117</v>
      </c>
      <c r="H141" s="43" t="s">
        <v>114</v>
      </c>
      <c r="I141" s="53">
        <f>IF(E141=0,0,IF(F141/E141*100&gt;110,110,F141/E141*100))</f>
        <v>0</v>
      </c>
      <c r="J141" s="44">
        <f>IF(E141=0,"",I141)</f>
      </c>
      <c r="K141" s="61">
        <f>IF(E141=0,"",IF(J141&gt;=100,"Гос.задание по гос.услуге выполнено в полном объеме",IF(J141&gt;=90,"Гос.задание по гос.услуге выполнено",IF(J141&lt;90,"Гос.задание по гос.услуге не выполнено"))))</f>
      </c>
    </row>
    <row r="142" spans="1:11" ht="28.5" customHeight="1">
      <c r="A142" s="89" t="s">
        <v>102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1"/>
    </row>
    <row r="143" spans="1:11" ht="77.25" customHeight="1">
      <c r="A143" s="92" t="s">
        <v>34</v>
      </c>
      <c r="B143" s="33" t="s">
        <v>15</v>
      </c>
      <c r="C143" s="34" t="s">
        <v>16</v>
      </c>
      <c r="D143" s="35" t="s">
        <v>46</v>
      </c>
      <c r="E143" s="36">
        <v>100</v>
      </c>
      <c r="F143" s="37">
        <v>100</v>
      </c>
      <c r="G143" s="38" t="s">
        <v>108</v>
      </c>
      <c r="H143" s="38" t="s">
        <v>114</v>
      </c>
      <c r="I143" s="39">
        <f>IF(F143/E143*100&gt;100,100,F143/E143*100)</f>
        <v>100</v>
      </c>
      <c r="J143" s="76">
        <f>IF(E146=0,"",(I143+I144+I145)/3)</f>
      </c>
      <c r="K143" s="87">
        <f>IF(E146&gt;0,(J143+J146)/2,0)</f>
        <v>0</v>
      </c>
    </row>
    <row r="144" spans="1:11" ht="52.5" customHeight="1">
      <c r="A144" s="93"/>
      <c r="B144" s="9" t="s">
        <v>26</v>
      </c>
      <c r="C144" s="10" t="s">
        <v>16</v>
      </c>
      <c r="D144" s="12" t="s">
        <v>47</v>
      </c>
      <c r="E144" s="11">
        <v>90</v>
      </c>
      <c r="F144" s="13">
        <v>90</v>
      </c>
      <c r="G144" s="6" t="s">
        <v>108</v>
      </c>
      <c r="H144" s="6" t="s">
        <v>115</v>
      </c>
      <c r="I144" s="39">
        <f>IF(F144/E144*100&gt;100,100,F144/E144*100)</f>
        <v>100</v>
      </c>
      <c r="J144" s="32">
        <f>IF(E146=0,"",IF(J143&gt;=100,"Гос.задание по гос.услуге выполнено в полном объеме",IF(J143&gt;=90,"Гос.задание по гос.услуге выполнено",IF(J143&lt;90,"Гос.задание по гос.услуге не выполнено"))))</f>
      </c>
      <c r="K144" s="79">
        <f>IF(E146=0,"",IF(K143&gt;=100,"Гос.задание по гос.услуге выполнено в полном объеме",IF(K143&gt;=90,"Гос.задание по гос.услуге выполнено",IF(K143&lt;90,"Гос.задание по гос.услуге не выполнено"))))</f>
      </c>
    </row>
    <row r="145" spans="1:11" ht="51" customHeight="1">
      <c r="A145" s="93"/>
      <c r="B145" s="9" t="s">
        <v>27</v>
      </c>
      <c r="C145" s="10" t="s">
        <v>16</v>
      </c>
      <c r="D145" s="12" t="s">
        <v>48</v>
      </c>
      <c r="E145" s="11">
        <v>90</v>
      </c>
      <c r="F145" s="7">
        <v>90</v>
      </c>
      <c r="G145" s="6" t="s">
        <v>108</v>
      </c>
      <c r="H145" s="6" t="s">
        <v>116</v>
      </c>
      <c r="I145" s="20">
        <f>IF(F145/E145*100&gt;100,100,F145/E145*100)</f>
        <v>100</v>
      </c>
      <c r="J145" s="57"/>
      <c r="K145" s="56"/>
    </row>
    <row r="146" spans="1:11" ht="42.75" customHeight="1" thickBot="1">
      <c r="A146" s="64" t="s">
        <v>3</v>
      </c>
      <c r="B146" s="40" t="s">
        <v>14</v>
      </c>
      <c r="C146" s="41" t="s">
        <v>4</v>
      </c>
      <c r="D146" s="41"/>
      <c r="E146" s="41">
        <f>VLOOKUP(A5,$B$191:$Y$207,22)</f>
        <v>0</v>
      </c>
      <c r="F146" s="42">
        <v>0</v>
      </c>
      <c r="G146" s="43" t="s">
        <v>117</v>
      </c>
      <c r="H146" s="43" t="s">
        <v>114</v>
      </c>
      <c r="I146" s="53">
        <f>IF(E146=0,0,IF(F146/E146*100&gt;110,110,F146/E146*100))</f>
        <v>0</v>
      </c>
      <c r="J146" s="44">
        <f>IF(E146=0,"",I146)</f>
      </c>
      <c r="K146" s="61">
        <f>IF(E146=0,"",IF(J146&gt;=100,"Гос.задание по гос.услуге выполнено в полном объеме",IF(J146&gt;=90,"Гос.задание по гос.услуге выполнено",IF(J146&lt;90,"Гос.задание по гос.услуге не выполнено"))))</f>
      </c>
    </row>
    <row r="148" spans="1:15" ht="15">
      <c r="A148" s="102" t="s">
        <v>49</v>
      </c>
      <c r="B148" s="100" t="s">
        <v>94</v>
      </c>
      <c r="C148" s="100"/>
      <c r="D148" s="100"/>
      <c r="E148" s="100"/>
      <c r="F148" s="100"/>
      <c r="G148" s="100"/>
      <c r="H148" s="100"/>
      <c r="I148" s="100"/>
      <c r="J148" s="100"/>
      <c r="K148" s="88">
        <f>K153</f>
        <v>98.9</v>
      </c>
      <c r="L148" s="8"/>
      <c r="M148" s="8"/>
      <c r="N148" s="8"/>
      <c r="O148" s="8"/>
    </row>
    <row r="149" spans="1:15" ht="53.25" customHeight="1">
      <c r="A149" s="103"/>
      <c r="B149" s="101"/>
      <c r="C149" s="101"/>
      <c r="D149" s="101"/>
      <c r="E149" s="101"/>
      <c r="F149" s="101"/>
      <c r="G149" s="101"/>
      <c r="H149" s="101"/>
      <c r="I149" s="101"/>
      <c r="J149" s="101"/>
      <c r="K149" s="78" t="str">
        <f>IF(K148=0,"",IF(K148="","",IF(K148&gt;=100,"Гос.задание по гос.услуге выполнено",IF(K148&gt;=90,"Гос.задание по гос.услуге в целом выполнено",IF(K148&lt;90,"Гос.задание по гос.услуге не выполнено")))))</f>
        <v>Гос.задание по гос.услуге в целом выполнено</v>
      </c>
      <c r="L149" s="8"/>
      <c r="M149" s="8"/>
      <c r="N149" s="8"/>
      <c r="O149" s="8"/>
    </row>
    <row r="150" spans="1:11" ht="75" customHeight="1">
      <c r="A150" s="104" t="s">
        <v>7</v>
      </c>
      <c r="B150" s="1" t="s">
        <v>0</v>
      </c>
      <c r="C150" s="1" t="s">
        <v>1</v>
      </c>
      <c r="D150" s="1" t="s">
        <v>2</v>
      </c>
      <c r="E150" s="1" t="s">
        <v>32</v>
      </c>
      <c r="F150" s="1" t="s">
        <v>33</v>
      </c>
      <c r="G150" s="1" t="s">
        <v>6</v>
      </c>
      <c r="H150" s="1" t="s">
        <v>5</v>
      </c>
      <c r="I150" s="1" t="s">
        <v>30</v>
      </c>
      <c r="J150" s="1" t="s">
        <v>31</v>
      </c>
      <c r="K150" s="30" t="s">
        <v>13</v>
      </c>
    </row>
    <row r="151" spans="1:11" ht="18" customHeight="1" thickBot="1">
      <c r="A151" s="105"/>
      <c r="B151" s="31">
        <v>1</v>
      </c>
      <c r="C151" s="31">
        <v>2</v>
      </c>
      <c r="D151" s="31">
        <v>3</v>
      </c>
      <c r="E151" s="31">
        <v>4</v>
      </c>
      <c r="F151" s="31">
        <v>5</v>
      </c>
      <c r="G151" s="31">
        <v>6</v>
      </c>
      <c r="H151" s="31">
        <v>7</v>
      </c>
      <c r="I151" s="31">
        <v>8</v>
      </c>
      <c r="J151" s="24">
        <v>9</v>
      </c>
      <c r="K151" s="21">
        <v>10</v>
      </c>
    </row>
    <row r="152" spans="1:11" ht="32.25" customHeight="1">
      <c r="A152" s="89" t="s">
        <v>42</v>
      </c>
      <c r="B152" s="90"/>
      <c r="C152" s="90"/>
      <c r="D152" s="90"/>
      <c r="E152" s="90"/>
      <c r="F152" s="90"/>
      <c r="G152" s="90"/>
      <c r="H152" s="90"/>
      <c r="I152" s="90"/>
      <c r="J152" s="90"/>
      <c r="K152" s="91"/>
    </row>
    <row r="153" spans="1:11" ht="77.25" customHeight="1">
      <c r="A153" s="92" t="s">
        <v>34</v>
      </c>
      <c r="B153" s="33" t="s">
        <v>15</v>
      </c>
      <c r="C153" s="34" t="s">
        <v>16</v>
      </c>
      <c r="D153" s="35" t="s">
        <v>17</v>
      </c>
      <c r="E153" s="36">
        <v>100</v>
      </c>
      <c r="F153" s="37">
        <v>100</v>
      </c>
      <c r="G153" s="38" t="s">
        <v>147</v>
      </c>
      <c r="H153" s="38" t="s">
        <v>120</v>
      </c>
      <c r="I153" s="39">
        <f>IF(F153/E153*100&gt;100,100,F153/E153*100)</f>
        <v>100</v>
      </c>
      <c r="J153" s="76">
        <f>IF(E158=0,"",(I153+I154+I155+I156+I157)/5)</f>
        <v>97.8</v>
      </c>
      <c r="K153" s="87">
        <f>IF(E158=0,0,(J153+J158)/2)</f>
        <v>98.9</v>
      </c>
    </row>
    <row r="154" spans="1:11" ht="52.5" customHeight="1">
      <c r="A154" s="93"/>
      <c r="B154" s="9" t="s">
        <v>18</v>
      </c>
      <c r="C154" s="10" t="s">
        <v>19</v>
      </c>
      <c r="D154" s="12" t="s">
        <v>36</v>
      </c>
      <c r="E154" s="11">
        <v>0</v>
      </c>
      <c r="F154" s="13">
        <v>100</v>
      </c>
      <c r="G154" s="6" t="s">
        <v>108</v>
      </c>
      <c r="H154" s="6" t="s">
        <v>125</v>
      </c>
      <c r="I154" s="20">
        <f>IF(F154=0,100,IF(F154&gt;5,89,90))</f>
        <v>89</v>
      </c>
      <c r="J154" s="32" t="str">
        <f>IF(E158=0,"",IF(J153&gt;=100,"Гос.задание по гос.услуге выполнено в полном объеме",IF(J153&gt;=90,"Гос.задание по гос.услуге выполнено",IF(J153&lt;90,"Гос.задание по гос.услуге не выполнено"))))</f>
        <v>Гос.задание по гос.услуге выполнено</v>
      </c>
      <c r="K154" s="79" t="str">
        <f>IF(E158=0,"",IF(K153&gt;=100,"Гос.задание по гос.услуге выполнено в полном объеме",IF(K153&gt;=90,"Гос.задание по гос.услуге выполнено",IF(K153&lt;90,"Гос.задание по гос.услуге не выполнено"))))</f>
        <v>Гос.задание по гос.услуге выполнено</v>
      </c>
    </row>
    <row r="155" spans="1:11" ht="69" customHeight="1">
      <c r="A155" s="93"/>
      <c r="B155" s="9" t="s">
        <v>20</v>
      </c>
      <c r="C155" s="10" t="s">
        <v>16</v>
      </c>
      <c r="D155" s="12" t="s">
        <v>21</v>
      </c>
      <c r="E155" s="11">
        <v>90</v>
      </c>
      <c r="F155" s="7">
        <v>90</v>
      </c>
      <c r="G155" s="6" t="s">
        <v>130</v>
      </c>
      <c r="H155" s="6" t="s">
        <v>112</v>
      </c>
      <c r="I155" s="20">
        <f>IF(F155/E155*100&gt;100,100,F155/E155*100)</f>
        <v>100</v>
      </c>
      <c r="J155" s="57"/>
      <c r="K155" s="56"/>
    </row>
    <row r="156" spans="1:11" ht="54" customHeight="1">
      <c r="A156" s="93"/>
      <c r="B156" s="9" t="s">
        <v>22</v>
      </c>
      <c r="C156" s="10" t="s">
        <v>16</v>
      </c>
      <c r="D156" s="12" t="s">
        <v>23</v>
      </c>
      <c r="E156" s="11">
        <v>90</v>
      </c>
      <c r="F156" s="7">
        <v>90</v>
      </c>
      <c r="G156" s="6" t="s">
        <v>128</v>
      </c>
      <c r="H156" s="6" t="s">
        <v>129</v>
      </c>
      <c r="I156" s="20">
        <f>IF(F156/E156*100&gt;100,100,F156/E156*100)</f>
        <v>100</v>
      </c>
      <c r="J156" s="57"/>
      <c r="K156" s="56"/>
    </row>
    <row r="157" spans="1:11" ht="19.5" customHeight="1">
      <c r="A157" s="93"/>
      <c r="B157" s="9" t="s">
        <v>24</v>
      </c>
      <c r="C157" s="10" t="s">
        <v>16</v>
      </c>
      <c r="D157" s="12" t="s">
        <v>25</v>
      </c>
      <c r="E157" s="11">
        <v>60</v>
      </c>
      <c r="F157" s="7">
        <v>60</v>
      </c>
      <c r="G157" s="6" t="s">
        <v>126</v>
      </c>
      <c r="H157" s="6" t="s">
        <v>124</v>
      </c>
      <c r="I157" s="20">
        <f>IF(F157/E157*100&gt;100,100,F157/E157*100)</f>
        <v>100</v>
      </c>
      <c r="J157" s="57"/>
      <c r="K157" s="56"/>
    </row>
    <row r="158" spans="1:11" ht="42.75" customHeight="1" thickBot="1">
      <c r="A158" s="64" t="s">
        <v>3</v>
      </c>
      <c r="B158" s="40" t="s">
        <v>14</v>
      </c>
      <c r="C158" s="41" t="s">
        <v>4</v>
      </c>
      <c r="D158" s="41"/>
      <c r="E158" s="41">
        <f>VLOOKUP(A5,$B$191:$Y$207,23)</f>
        <v>1</v>
      </c>
      <c r="F158" s="42">
        <v>1</v>
      </c>
      <c r="G158" s="43" t="s">
        <v>127</v>
      </c>
      <c r="H158" s="38" t="s">
        <v>120</v>
      </c>
      <c r="I158" s="53">
        <f>IF(E158=0,0,IF(F158/E158*100&gt;110,110,F158/E158*100))</f>
        <v>100</v>
      </c>
      <c r="J158" s="44">
        <f>IF(E158=0,"",I158)</f>
        <v>100</v>
      </c>
      <c r="K158" s="61" t="str">
        <f>IF(E158=0,"",IF(J158&gt;=100,"Гос.задание по гос.услуге выполнено в полном объеме",IF(J158&gt;=90,"Гос.задание по гос.услуге выполнено",IF(J158&lt;90,"Гос.задание по гос.услуге не выполнено"))))</f>
        <v>Гос.задание по гос.услуге выполнено в полном объеме</v>
      </c>
    </row>
    <row r="160" spans="1:15" ht="27.75" customHeight="1">
      <c r="A160" s="102" t="s">
        <v>50</v>
      </c>
      <c r="B160" s="100" t="s">
        <v>51</v>
      </c>
      <c r="C160" s="100"/>
      <c r="D160" s="100"/>
      <c r="E160" s="100"/>
      <c r="F160" s="100"/>
      <c r="G160" s="100"/>
      <c r="H160" s="100"/>
      <c r="I160" s="100"/>
      <c r="J160" s="100"/>
      <c r="K160" s="88">
        <f>K165</f>
        <v>100</v>
      </c>
      <c r="L160" s="8"/>
      <c r="M160" s="8"/>
      <c r="N160" s="8"/>
      <c r="O160" s="8"/>
    </row>
    <row r="161" spans="1:15" ht="53.25" customHeight="1">
      <c r="A161" s="103"/>
      <c r="B161" s="101"/>
      <c r="C161" s="101"/>
      <c r="D161" s="101"/>
      <c r="E161" s="101"/>
      <c r="F161" s="101"/>
      <c r="G161" s="101"/>
      <c r="H161" s="101"/>
      <c r="I161" s="101"/>
      <c r="J161" s="101"/>
      <c r="K161" s="78" t="str">
        <f>IF(E168=0,"",IF(K160="","",IF(K160&gt;=100,"Гос.задание по гос.услуге выполнено",IF(K160&gt;=90,"Гос.задание по гос.услуге в целом выполнено",IF(K160&lt;90,"Гос.задание по гос.услуге не выполнено")))))</f>
        <v>Гос.задание по гос.услуге выполнено</v>
      </c>
      <c r="L161" s="8"/>
      <c r="M161" s="8"/>
      <c r="N161" s="8"/>
      <c r="O161" s="8"/>
    </row>
    <row r="162" spans="1:11" ht="75" customHeight="1">
      <c r="A162" s="104" t="s">
        <v>7</v>
      </c>
      <c r="B162" s="1" t="s">
        <v>0</v>
      </c>
      <c r="C162" s="1" t="s">
        <v>1</v>
      </c>
      <c r="D162" s="1" t="s">
        <v>2</v>
      </c>
      <c r="E162" s="1" t="s">
        <v>32</v>
      </c>
      <c r="F162" s="1" t="s">
        <v>33</v>
      </c>
      <c r="G162" s="1" t="s">
        <v>6</v>
      </c>
      <c r="H162" s="1" t="s">
        <v>5</v>
      </c>
      <c r="I162" s="1" t="s">
        <v>30</v>
      </c>
      <c r="J162" s="1" t="s">
        <v>31</v>
      </c>
      <c r="K162" s="30" t="s">
        <v>13</v>
      </c>
    </row>
    <row r="163" spans="1:11" ht="18" customHeight="1" thickBot="1">
      <c r="A163" s="105"/>
      <c r="B163" s="31">
        <v>1</v>
      </c>
      <c r="C163" s="31">
        <v>2</v>
      </c>
      <c r="D163" s="31">
        <v>3</v>
      </c>
      <c r="E163" s="31">
        <v>4</v>
      </c>
      <c r="F163" s="31">
        <v>5</v>
      </c>
      <c r="G163" s="31">
        <v>6</v>
      </c>
      <c r="H163" s="31">
        <v>7</v>
      </c>
      <c r="I163" s="31">
        <v>8</v>
      </c>
      <c r="J163" s="24">
        <v>9</v>
      </c>
      <c r="K163" s="21">
        <v>10</v>
      </c>
    </row>
    <row r="164" spans="1:11" ht="34.5" customHeight="1">
      <c r="A164" s="89" t="s">
        <v>103</v>
      </c>
      <c r="B164" s="90"/>
      <c r="C164" s="90"/>
      <c r="D164" s="90"/>
      <c r="E164" s="90"/>
      <c r="F164" s="90"/>
      <c r="G164" s="90"/>
      <c r="H164" s="90"/>
      <c r="I164" s="90"/>
      <c r="J164" s="90"/>
      <c r="K164" s="91"/>
    </row>
    <row r="165" spans="1:11" ht="77.25" customHeight="1">
      <c r="A165" s="92" t="s">
        <v>34</v>
      </c>
      <c r="B165" s="33" t="s">
        <v>15</v>
      </c>
      <c r="C165" s="34" t="s">
        <v>16</v>
      </c>
      <c r="D165" s="35" t="s">
        <v>46</v>
      </c>
      <c r="E165" s="36">
        <v>100</v>
      </c>
      <c r="F165" s="37">
        <v>100</v>
      </c>
      <c r="G165" s="38" t="s">
        <v>147</v>
      </c>
      <c r="H165" s="38" t="s">
        <v>120</v>
      </c>
      <c r="I165" s="39">
        <f>IF(F165/E165*100&gt;100,100,F165/E165*100)</f>
        <v>100</v>
      </c>
      <c r="J165" s="76">
        <f>IF(E168=0,"",(I165+I166+I167)/3)</f>
        <v>100</v>
      </c>
      <c r="K165" s="87">
        <f>IF(E168=0,0,(J165+J168)/2)</f>
        <v>100</v>
      </c>
    </row>
    <row r="166" spans="1:11" ht="69" customHeight="1">
      <c r="A166" s="93"/>
      <c r="B166" s="9" t="s">
        <v>26</v>
      </c>
      <c r="C166" s="10" t="s">
        <v>16</v>
      </c>
      <c r="D166" s="12" t="s">
        <v>47</v>
      </c>
      <c r="E166" s="11">
        <v>90</v>
      </c>
      <c r="F166" s="13">
        <v>90</v>
      </c>
      <c r="G166" s="6" t="s">
        <v>130</v>
      </c>
      <c r="H166" s="6" t="s">
        <v>112</v>
      </c>
      <c r="I166" s="39">
        <f>IF(F166/E166*100&gt;100,100,F166/E166*100)</f>
        <v>100</v>
      </c>
      <c r="J166" s="32" t="str">
        <f>IF(E168=0,"",IF(J165&gt;=100,"Гос.задание по гос.услуге выполнено в полном объеме",IF(J165&gt;=90,"Гос.задание по гос.услуге выполнено",IF(J165&lt;90,"Гос.задание по гос.услуге не выполнено"))))</f>
        <v>Гос.задание по гос.услуге выполнено в полном объеме</v>
      </c>
      <c r="K166" s="79" t="str">
        <f>IF(E168=0,"",IF(K165&gt;=100,"Гос.задание по гос.услуге выполнено в полном объеме",IF(K165&gt;=90,"Гос.задание по гос.услуге выполнено",IF(K165&lt;90,"Гос.задание по гос.услуге не выполнено"))))</f>
        <v>Гос.задание по гос.услуге выполнено в полном объеме</v>
      </c>
    </row>
    <row r="167" spans="1:11" ht="51" customHeight="1">
      <c r="A167" s="93"/>
      <c r="B167" s="9" t="s">
        <v>27</v>
      </c>
      <c r="C167" s="10" t="s">
        <v>16</v>
      </c>
      <c r="D167" s="12" t="s">
        <v>48</v>
      </c>
      <c r="E167" s="11">
        <v>90</v>
      </c>
      <c r="F167" s="7">
        <v>90</v>
      </c>
      <c r="G167" s="6" t="s">
        <v>128</v>
      </c>
      <c r="H167" s="6" t="s">
        <v>129</v>
      </c>
      <c r="I167" s="20">
        <f>IF(F167/E167*100&gt;100,100,F167/E167*100)</f>
        <v>100</v>
      </c>
      <c r="J167" s="57"/>
      <c r="K167" s="56"/>
    </row>
    <row r="168" spans="1:11" ht="44.25" customHeight="1" thickBot="1">
      <c r="A168" s="64" t="s">
        <v>3</v>
      </c>
      <c r="B168" s="40" t="s">
        <v>14</v>
      </c>
      <c r="C168" s="41" t="s">
        <v>4</v>
      </c>
      <c r="D168" s="41"/>
      <c r="E168" s="41">
        <f>VLOOKUP(A5,$B$191:$Y$207,24)</f>
        <v>1</v>
      </c>
      <c r="F168" s="42">
        <v>1</v>
      </c>
      <c r="G168" s="43" t="s">
        <v>127</v>
      </c>
      <c r="H168" s="43" t="s">
        <v>120</v>
      </c>
      <c r="I168" s="53">
        <f>IF(E168=0,0,IF(F168/E168*100&gt;110,110,F168/E168*100))</f>
        <v>100</v>
      </c>
      <c r="J168" s="44">
        <f>IF(E168=0,"",I168)</f>
        <v>100</v>
      </c>
      <c r="K168" s="61" t="str">
        <f>IF(E168=0,"",IF(J168&gt;=100,"Гос.задание по гос.услуге выполнено в полном объеме",IF(J168&gt;=90,"Гос.задание по гос.услуге выполнено",IF(J168&lt;90,"Гос.задание по гос.услуге не выполнено"))))</f>
        <v>Гос.задание по гос.услуге выполнено в полном объеме</v>
      </c>
    </row>
    <row r="170" spans="10:11" s="15" customFormat="1" ht="12.75">
      <c r="J170" s="58"/>
      <c r="K170" s="62"/>
    </row>
    <row r="171" spans="10:11" s="15" customFormat="1" ht="13.5" thickBot="1">
      <c r="J171" s="58"/>
      <c r="K171" s="62"/>
    </row>
    <row r="172" spans="1:15" ht="20.25" customHeight="1">
      <c r="A172" s="94" t="s">
        <v>93</v>
      </c>
      <c r="B172" s="95"/>
      <c r="C172" s="95"/>
      <c r="D172" s="95"/>
      <c r="E172" s="95"/>
      <c r="F172" s="95"/>
      <c r="G172" s="95"/>
      <c r="H172" s="95"/>
      <c r="I172" s="95"/>
      <c r="J172" s="96"/>
      <c r="K172" s="80">
        <f>K7</f>
        <v>102.23333333333333</v>
      </c>
      <c r="L172" s="8"/>
      <c r="M172" s="8"/>
      <c r="N172" s="8"/>
      <c r="O172" s="8"/>
    </row>
    <row r="173" spans="1:15" ht="42" customHeight="1" thickBot="1">
      <c r="A173" s="97"/>
      <c r="B173" s="98"/>
      <c r="C173" s="98"/>
      <c r="D173" s="98"/>
      <c r="E173" s="98"/>
      <c r="F173" s="98"/>
      <c r="G173" s="98"/>
      <c r="H173" s="98"/>
      <c r="I173" s="98"/>
      <c r="J173" s="99"/>
      <c r="K173" s="81" t="str">
        <f>IF(K172&gt;=100,"Гос.задание выполнено",IF(K172&gt;=90,"Гос.задание в целом выполнено",IF(K172&lt;90,"Гос.задание не выполнено")))</f>
        <v>Гос.задание выполнено</v>
      </c>
      <c r="L173" s="8"/>
      <c r="M173" s="8"/>
      <c r="N173" s="8"/>
      <c r="O173" s="8"/>
    </row>
    <row r="174" spans="1:15" ht="20.25" customHeight="1" thickBot="1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78"/>
      <c r="L174" s="8"/>
      <c r="M174" s="8"/>
      <c r="N174" s="8"/>
      <c r="O174" s="8"/>
    </row>
    <row r="175" spans="1:15" ht="20.25" customHeight="1">
      <c r="A175" s="94" t="s">
        <v>91</v>
      </c>
      <c r="B175" s="95"/>
      <c r="C175" s="95"/>
      <c r="D175" s="95"/>
      <c r="E175" s="95"/>
      <c r="F175" s="95"/>
      <c r="G175" s="95"/>
      <c r="H175" s="95"/>
      <c r="I175" s="95"/>
      <c r="J175" s="96"/>
      <c r="K175" s="80">
        <f>IF(K148&gt;0,(K47+K148)/2,K47)</f>
        <v>99.20525139222727</v>
      </c>
      <c r="L175" s="8"/>
      <c r="M175" s="8"/>
      <c r="N175" s="8"/>
      <c r="O175" s="8"/>
    </row>
    <row r="176" spans="1:15" ht="42" customHeight="1" thickBot="1">
      <c r="A176" s="97"/>
      <c r="B176" s="98"/>
      <c r="C176" s="98"/>
      <c r="D176" s="98"/>
      <c r="E176" s="98"/>
      <c r="F176" s="98"/>
      <c r="G176" s="98"/>
      <c r="H176" s="98"/>
      <c r="I176" s="98"/>
      <c r="J176" s="99"/>
      <c r="K176" s="81" t="str">
        <f>IF(K175&gt;=100,"Гос.задание выполнено",IF(K175&gt;=90,"Гос.задание в целом выполнено",IF(K175&lt;90,"Гос.задание не выполнено")))</f>
        <v>Гос.задание в целом выполнено</v>
      </c>
      <c r="L176" s="8"/>
      <c r="M176" s="8"/>
      <c r="N176" s="8"/>
      <c r="O176" s="8"/>
    </row>
    <row r="177" spans="1:15" ht="15.75" thickBot="1">
      <c r="A177" s="83"/>
      <c r="B177" s="82"/>
      <c r="C177" s="82"/>
      <c r="D177" s="82"/>
      <c r="E177" s="82"/>
      <c r="F177" s="82"/>
      <c r="G177" s="82"/>
      <c r="H177" s="82"/>
      <c r="I177" s="82"/>
      <c r="J177" s="84"/>
      <c r="K177" s="85"/>
      <c r="L177" s="8"/>
      <c r="M177" s="8"/>
      <c r="N177" s="8"/>
      <c r="O177" s="8"/>
    </row>
    <row r="178" spans="1:15" ht="20.25" customHeight="1">
      <c r="A178" s="94" t="s">
        <v>92</v>
      </c>
      <c r="B178" s="95"/>
      <c r="C178" s="95"/>
      <c r="D178" s="95"/>
      <c r="E178" s="95"/>
      <c r="F178" s="95"/>
      <c r="G178" s="95"/>
      <c r="H178" s="95"/>
      <c r="I178" s="95"/>
      <c r="J178" s="96"/>
      <c r="K178" s="80">
        <f>IF((K108+K160)=0,0,(K108+K160)/(COUNTIF(K108,"&gt;0")+COUNTIF(K160,"&gt;0")))</f>
        <v>100.43333333333334</v>
      </c>
      <c r="L178" s="8"/>
      <c r="M178" s="8"/>
      <c r="N178" s="8"/>
      <c r="O178" s="8"/>
    </row>
    <row r="179" spans="1:15" ht="42" customHeight="1" thickBot="1">
      <c r="A179" s="97"/>
      <c r="B179" s="98"/>
      <c r="C179" s="98"/>
      <c r="D179" s="98"/>
      <c r="E179" s="98"/>
      <c r="F179" s="98"/>
      <c r="G179" s="98"/>
      <c r="H179" s="98"/>
      <c r="I179" s="98"/>
      <c r="J179" s="99"/>
      <c r="K179" s="81" t="str">
        <f>IF(K178&gt;=100,"Гос.задание выполнено",IF(K178&gt;=90,"Гос.задание в целом выполнено",IF(K178&lt;90,"Гос.задание не выполнено")))</f>
        <v>Гос.задание выполнено</v>
      </c>
      <c r="L179" s="8"/>
      <c r="M179" s="8"/>
      <c r="N179" s="8"/>
      <c r="O179" s="8"/>
    </row>
    <row r="180" spans="10:11" s="15" customFormat="1" ht="12.75">
      <c r="J180" s="58"/>
      <c r="K180" s="62"/>
    </row>
    <row r="181" spans="10:11" s="15" customFormat="1" ht="12.75">
      <c r="J181" s="58"/>
      <c r="K181" s="62"/>
    </row>
    <row r="182" spans="10:11" s="15" customFormat="1" ht="12.75">
      <c r="J182" s="58"/>
      <c r="K182" s="62"/>
    </row>
    <row r="183" spans="1:11" s="15" customFormat="1" ht="36">
      <c r="A183" s="54" t="s">
        <v>88</v>
      </c>
      <c r="B183" s="22" t="s">
        <v>118</v>
      </c>
      <c r="J183" s="58"/>
      <c r="K183" s="62"/>
    </row>
    <row r="184" spans="10:11" s="15" customFormat="1" ht="12.75">
      <c r="J184" s="58"/>
      <c r="K184" s="62"/>
    </row>
    <row r="185" spans="2:11" s="15" customFormat="1" ht="12.75">
      <c r="B185" s="17" t="s">
        <v>8</v>
      </c>
      <c r="C185" s="16"/>
      <c r="D185" s="16"/>
      <c r="E185" s="18"/>
      <c r="F185" s="18"/>
      <c r="J185" s="58"/>
      <c r="K185" s="62"/>
    </row>
    <row r="186" spans="10:11" s="15" customFormat="1" ht="12.75">
      <c r="J186" s="58"/>
      <c r="K186" s="62"/>
    </row>
    <row r="187" spans="10:11" s="15" customFormat="1" ht="12.75" hidden="1">
      <c r="J187" s="58"/>
      <c r="K187" s="62"/>
    </row>
    <row r="188" spans="10:11" s="15" customFormat="1" ht="12.75" hidden="1">
      <c r="J188" s="58"/>
      <c r="K188" s="62"/>
    </row>
    <row r="189" spans="4:25" s="15" customFormat="1" ht="12.75" hidden="1">
      <c r="D189" s="15" t="s">
        <v>96</v>
      </c>
      <c r="I189" s="15" t="s">
        <v>97</v>
      </c>
      <c r="J189" s="58"/>
      <c r="K189" s="62"/>
      <c r="Q189" s="15" t="s">
        <v>98</v>
      </c>
      <c r="X189" s="15" t="s">
        <v>99</v>
      </c>
      <c r="Y189" s="15" t="s">
        <v>100</v>
      </c>
    </row>
    <row r="190" spans="1:25" s="15" customFormat="1" ht="12.75" hidden="1">
      <c r="A190" s="65"/>
      <c r="B190" s="66" t="s">
        <v>12</v>
      </c>
      <c r="C190" s="67" t="s">
        <v>28</v>
      </c>
      <c r="D190" s="68" t="s">
        <v>52</v>
      </c>
      <c r="E190" s="68" t="s">
        <v>53</v>
      </c>
      <c r="F190" s="68" t="s">
        <v>54</v>
      </c>
      <c r="G190" s="69" t="s">
        <v>55</v>
      </c>
      <c r="H190" s="69" t="s">
        <v>56</v>
      </c>
      <c r="I190" s="69" t="s">
        <v>57</v>
      </c>
      <c r="J190" s="68" t="s">
        <v>58</v>
      </c>
      <c r="K190" s="68" t="s">
        <v>59</v>
      </c>
      <c r="L190" s="68" t="s">
        <v>60</v>
      </c>
      <c r="M190" s="68" t="s">
        <v>61</v>
      </c>
      <c r="N190" s="68" t="s">
        <v>62</v>
      </c>
      <c r="O190" s="68" t="s">
        <v>104</v>
      </c>
      <c r="P190" s="68" t="s">
        <v>105</v>
      </c>
      <c r="Q190" s="68" t="s">
        <v>63</v>
      </c>
      <c r="R190" s="68" t="s">
        <v>64</v>
      </c>
      <c r="S190" s="68" t="s">
        <v>65</v>
      </c>
      <c r="T190" s="68" t="s">
        <v>66</v>
      </c>
      <c r="U190" s="68" t="s">
        <v>67</v>
      </c>
      <c r="V190" s="68" t="s">
        <v>106</v>
      </c>
      <c r="W190" s="68" t="s">
        <v>107</v>
      </c>
      <c r="X190" s="68" t="s">
        <v>68</v>
      </c>
      <c r="Y190" s="68" t="s">
        <v>69</v>
      </c>
    </row>
    <row r="191" spans="1:25" s="15" customFormat="1" ht="12.75" hidden="1">
      <c r="A191" s="70"/>
      <c r="B191" s="71" t="s">
        <v>72</v>
      </c>
      <c r="C191" s="67">
        <v>536</v>
      </c>
      <c r="D191" s="72">
        <v>6</v>
      </c>
      <c r="E191" s="72">
        <v>30</v>
      </c>
      <c r="F191" s="72">
        <v>20</v>
      </c>
      <c r="G191" s="72">
        <v>1</v>
      </c>
      <c r="H191" s="72">
        <v>130</v>
      </c>
      <c r="I191" s="72">
        <v>62</v>
      </c>
      <c r="J191" s="72">
        <v>1100</v>
      </c>
      <c r="K191" s="72">
        <v>175</v>
      </c>
      <c r="L191" s="72">
        <v>10</v>
      </c>
      <c r="M191" s="72">
        <v>10</v>
      </c>
      <c r="N191" s="72">
        <v>446</v>
      </c>
      <c r="O191" s="72"/>
      <c r="P191" s="72"/>
      <c r="Q191" s="72">
        <v>3</v>
      </c>
      <c r="R191" s="72">
        <v>6</v>
      </c>
      <c r="S191" s="72"/>
      <c r="T191" s="72"/>
      <c r="U191" s="72"/>
      <c r="V191" s="72"/>
      <c r="W191" s="72"/>
      <c r="X191" s="72">
        <v>1</v>
      </c>
      <c r="Y191" s="72"/>
    </row>
    <row r="192" spans="1:25" s="15" customFormat="1" ht="12.75" hidden="1">
      <c r="A192" s="70"/>
      <c r="B192" s="71" t="s">
        <v>73</v>
      </c>
      <c r="C192" s="67">
        <v>508</v>
      </c>
      <c r="D192" s="72">
        <v>1</v>
      </c>
      <c r="E192" s="72">
        <v>27</v>
      </c>
      <c r="F192" s="72">
        <v>10</v>
      </c>
      <c r="G192" s="72">
        <v>0</v>
      </c>
      <c r="H192" s="72">
        <v>42</v>
      </c>
      <c r="I192" s="72">
        <v>18</v>
      </c>
      <c r="J192" s="72">
        <v>574</v>
      </c>
      <c r="K192" s="72">
        <v>433</v>
      </c>
      <c r="L192" s="72">
        <v>10</v>
      </c>
      <c r="M192" s="72">
        <v>169</v>
      </c>
      <c r="N192" s="72">
        <v>178</v>
      </c>
      <c r="O192" s="72">
        <v>0</v>
      </c>
      <c r="P192" s="72">
        <v>17</v>
      </c>
      <c r="Q192" s="72">
        <v>0</v>
      </c>
      <c r="R192" s="72">
        <v>2</v>
      </c>
      <c r="S192" s="72">
        <v>11</v>
      </c>
      <c r="T192" s="72">
        <v>5</v>
      </c>
      <c r="U192" s="72">
        <v>1</v>
      </c>
      <c r="V192" s="72">
        <v>0</v>
      </c>
      <c r="W192" s="72">
        <v>0</v>
      </c>
      <c r="X192" s="72">
        <v>1</v>
      </c>
      <c r="Y192" s="72">
        <v>1</v>
      </c>
    </row>
    <row r="193" spans="1:25" s="15" customFormat="1" ht="12.75" hidden="1">
      <c r="A193" s="74"/>
      <c r="B193" s="71" t="s">
        <v>74</v>
      </c>
      <c r="C193" s="67">
        <v>509</v>
      </c>
      <c r="D193" s="72">
        <v>3</v>
      </c>
      <c r="E193" s="72">
        <v>41</v>
      </c>
      <c r="F193" s="72">
        <v>1</v>
      </c>
      <c r="G193" s="72">
        <v>3</v>
      </c>
      <c r="H193" s="72">
        <v>12</v>
      </c>
      <c r="I193" s="72">
        <v>37</v>
      </c>
      <c r="J193" s="72">
        <v>728</v>
      </c>
      <c r="K193" s="72">
        <v>23</v>
      </c>
      <c r="L193" s="72">
        <v>1</v>
      </c>
      <c r="M193" s="72">
        <v>45</v>
      </c>
      <c r="N193" s="72">
        <v>95</v>
      </c>
      <c r="O193" s="72"/>
      <c r="P193" s="72"/>
      <c r="Q193" s="72">
        <v>1</v>
      </c>
      <c r="R193" s="72">
        <v>1</v>
      </c>
      <c r="S193" s="72">
        <v>1</v>
      </c>
      <c r="T193" s="72">
        <v>5</v>
      </c>
      <c r="U193" s="72">
        <v>1</v>
      </c>
      <c r="V193" s="72"/>
      <c r="W193" s="72"/>
      <c r="X193" s="72">
        <v>1</v>
      </c>
      <c r="Y193" s="72">
        <v>1</v>
      </c>
    </row>
    <row r="194" spans="1:25" s="15" customFormat="1" ht="12.75" hidden="1">
      <c r="A194" s="74"/>
      <c r="B194" s="71" t="s">
        <v>75</v>
      </c>
      <c r="C194" s="67">
        <v>510</v>
      </c>
      <c r="D194" s="72">
        <v>5</v>
      </c>
      <c r="E194" s="72">
        <v>5</v>
      </c>
      <c r="F194" s="72">
        <v>18</v>
      </c>
      <c r="G194" s="72"/>
      <c r="H194" s="72">
        <v>16</v>
      </c>
      <c r="I194" s="72">
        <v>61</v>
      </c>
      <c r="J194" s="72">
        <v>413</v>
      </c>
      <c r="K194" s="72">
        <v>224</v>
      </c>
      <c r="L194" s="72"/>
      <c r="M194" s="72">
        <v>40</v>
      </c>
      <c r="N194" s="72">
        <v>205</v>
      </c>
      <c r="O194" s="72">
        <v>2</v>
      </c>
      <c r="P194" s="72">
        <v>2</v>
      </c>
      <c r="Q194" s="72">
        <v>5</v>
      </c>
      <c r="R194" s="72"/>
      <c r="S194" s="72"/>
      <c r="T194" s="72"/>
      <c r="U194" s="72"/>
      <c r="V194" s="72">
        <v>2</v>
      </c>
      <c r="W194" s="72"/>
      <c r="X194" s="72">
        <v>1</v>
      </c>
      <c r="Y194" s="72">
        <v>1</v>
      </c>
    </row>
    <row r="195" spans="1:25" s="15" customFormat="1" ht="12.75" hidden="1">
      <c r="A195" s="74"/>
      <c r="B195" s="71" t="s">
        <v>76</v>
      </c>
      <c r="C195" s="67">
        <v>512</v>
      </c>
      <c r="D195" s="72">
        <v>0</v>
      </c>
      <c r="E195" s="72">
        <v>14</v>
      </c>
      <c r="F195" s="72">
        <v>9</v>
      </c>
      <c r="G195" s="72">
        <v>2</v>
      </c>
      <c r="H195" s="72">
        <v>23</v>
      </c>
      <c r="I195" s="72">
        <v>24</v>
      </c>
      <c r="J195" s="72">
        <v>585</v>
      </c>
      <c r="K195" s="72">
        <v>236</v>
      </c>
      <c r="L195" s="72">
        <v>0</v>
      </c>
      <c r="M195" s="72">
        <v>18</v>
      </c>
      <c r="N195" s="72">
        <v>83</v>
      </c>
      <c r="O195" s="72">
        <v>0</v>
      </c>
      <c r="P195" s="72">
        <v>0</v>
      </c>
      <c r="Q195" s="72">
        <v>0</v>
      </c>
      <c r="R195" s="72">
        <v>1</v>
      </c>
      <c r="S195" s="72">
        <v>2</v>
      </c>
      <c r="T195" s="72">
        <v>3</v>
      </c>
      <c r="U195" s="72"/>
      <c r="V195" s="72"/>
      <c r="W195" s="72"/>
      <c r="X195" s="72">
        <v>0</v>
      </c>
      <c r="Y195" s="72">
        <v>0</v>
      </c>
    </row>
    <row r="196" spans="1:25" s="15" customFormat="1" ht="12.75" hidden="1">
      <c r="A196" s="74"/>
      <c r="B196" s="71" t="s">
        <v>77</v>
      </c>
      <c r="C196" s="67">
        <v>511</v>
      </c>
      <c r="D196" s="72">
        <v>0</v>
      </c>
      <c r="E196" s="72">
        <v>22</v>
      </c>
      <c r="F196" s="72">
        <v>3</v>
      </c>
      <c r="G196" s="72">
        <v>0</v>
      </c>
      <c r="H196" s="72">
        <v>50</v>
      </c>
      <c r="I196" s="72">
        <v>0</v>
      </c>
      <c r="J196" s="72">
        <v>738</v>
      </c>
      <c r="K196" s="72">
        <v>20</v>
      </c>
      <c r="L196" s="72">
        <v>0</v>
      </c>
      <c r="M196" s="72">
        <v>20</v>
      </c>
      <c r="N196" s="72">
        <v>140</v>
      </c>
      <c r="O196" s="72">
        <v>0</v>
      </c>
      <c r="P196" s="72">
        <v>0</v>
      </c>
      <c r="Q196" s="72">
        <v>0</v>
      </c>
      <c r="R196" s="72">
        <v>5</v>
      </c>
      <c r="S196" s="72">
        <v>0</v>
      </c>
      <c r="T196" s="72">
        <v>0</v>
      </c>
      <c r="U196" s="72">
        <v>0</v>
      </c>
      <c r="V196" s="72">
        <v>0</v>
      </c>
      <c r="W196" s="72">
        <v>0</v>
      </c>
      <c r="X196" s="72">
        <v>1</v>
      </c>
      <c r="Y196" s="72">
        <v>1</v>
      </c>
    </row>
    <row r="197" spans="1:25" s="15" customFormat="1" ht="12.75" hidden="1">
      <c r="A197" s="74"/>
      <c r="B197" s="71" t="s">
        <v>78</v>
      </c>
      <c r="C197" s="67">
        <v>514</v>
      </c>
      <c r="D197" s="72">
        <v>2</v>
      </c>
      <c r="E197" s="72">
        <v>12</v>
      </c>
      <c r="F197" s="72">
        <v>20</v>
      </c>
      <c r="G197" s="72">
        <v>1</v>
      </c>
      <c r="H197" s="72">
        <v>25</v>
      </c>
      <c r="I197" s="72">
        <v>197</v>
      </c>
      <c r="J197" s="72">
        <v>485</v>
      </c>
      <c r="K197" s="72">
        <v>80</v>
      </c>
      <c r="L197" s="72">
        <v>1</v>
      </c>
      <c r="M197" s="72">
        <v>17</v>
      </c>
      <c r="N197" s="72">
        <v>153</v>
      </c>
      <c r="O197" s="72">
        <v>0</v>
      </c>
      <c r="P197" s="72">
        <v>0</v>
      </c>
      <c r="Q197" s="72">
        <v>7</v>
      </c>
      <c r="R197" s="72">
        <v>0</v>
      </c>
      <c r="S197" s="72">
        <v>0</v>
      </c>
      <c r="T197" s="72">
        <v>0</v>
      </c>
      <c r="U197" s="72">
        <v>0</v>
      </c>
      <c r="V197" s="72">
        <v>0</v>
      </c>
      <c r="W197" s="72">
        <v>0</v>
      </c>
      <c r="X197" s="72">
        <v>0</v>
      </c>
      <c r="Y197" s="72">
        <v>0</v>
      </c>
    </row>
    <row r="198" spans="1:25" s="15" customFormat="1" ht="12.75" hidden="1">
      <c r="A198" s="74"/>
      <c r="B198" s="71" t="s">
        <v>79</v>
      </c>
      <c r="C198" s="67">
        <v>537</v>
      </c>
      <c r="D198" s="72">
        <v>1</v>
      </c>
      <c r="E198" s="72">
        <v>5</v>
      </c>
      <c r="F198" s="72">
        <v>2</v>
      </c>
      <c r="G198" s="72">
        <v>1</v>
      </c>
      <c r="H198" s="72">
        <v>30</v>
      </c>
      <c r="I198" s="72">
        <v>150</v>
      </c>
      <c r="J198" s="72">
        <v>502</v>
      </c>
      <c r="K198" s="72">
        <v>95</v>
      </c>
      <c r="L198" s="72">
        <v>0</v>
      </c>
      <c r="M198" s="72">
        <v>10</v>
      </c>
      <c r="N198" s="72">
        <v>148</v>
      </c>
      <c r="O198" s="72">
        <v>0</v>
      </c>
      <c r="P198" s="72">
        <v>41</v>
      </c>
      <c r="Q198" s="72">
        <v>5</v>
      </c>
      <c r="R198" s="72">
        <v>0</v>
      </c>
      <c r="S198" s="72">
        <v>1</v>
      </c>
      <c r="T198" s="72">
        <v>1</v>
      </c>
      <c r="U198" s="72">
        <v>1</v>
      </c>
      <c r="V198" s="72">
        <v>1</v>
      </c>
      <c r="W198" s="72">
        <v>1</v>
      </c>
      <c r="X198" s="72">
        <v>5</v>
      </c>
      <c r="Y198" s="72"/>
    </row>
    <row r="199" spans="1:25" s="15" customFormat="1" ht="12.75" hidden="1">
      <c r="A199" s="74"/>
      <c r="B199" s="71" t="s">
        <v>80</v>
      </c>
      <c r="C199" s="67">
        <v>502</v>
      </c>
      <c r="D199" s="72">
        <v>0</v>
      </c>
      <c r="E199" s="72">
        <v>37</v>
      </c>
      <c r="F199" s="72">
        <v>20</v>
      </c>
      <c r="G199" s="72">
        <v>2</v>
      </c>
      <c r="H199" s="72">
        <v>141</v>
      </c>
      <c r="I199" s="72">
        <v>55</v>
      </c>
      <c r="J199" s="72">
        <v>1350</v>
      </c>
      <c r="K199" s="72">
        <v>62</v>
      </c>
      <c r="L199" s="72">
        <v>3</v>
      </c>
      <c r="M199" s="72">
        <v>10</v>
      </c>
      <c r="N199" s="72">
        <v>261</v>
      </c>
      <c r="O199" s="72"/>
      <c r="P199" s="72">
        <v>31</v>
      </c>
      <c r="Q199" s="72">
        <v>7</v>
      </c>
      <c r="R199" s="72">
        <v>11</v>
      </c>
      <c r="S199" s="72">
        <v>1</v>
      </c>
      <c r="T199" s="72">
        <v>1</v>
      </c>
      <c r="U199" s="72">
        <v>3</v>
      </c>
      <c r="V199" s="72"/>
      <c r="W199" s="72"/>
      <c r="X199" s="72">
        <v>4</v>
      </c>
      <c r="Y199" s="72">
        <v>1</v>
      </c>
    </row>
    <row r="200" spans="1:25" s="15" customFormat="1" ht="12.75" hidden="1">
      <c r="A200" s="74"/>
      <c r="B200" s="71" t="s">
        <v>81</v>
      </c>
      <c r="C200" s="67">
        <v>503</v>
      </c>
      <c r="D200" s="72">
        <v>3</v>
      </c>
      <c r="E200" s="72">
        <v>85</v>
      </c>
      <c r="F200" s="72">
        <v>19</v>
      </c>
      <c r="G200" s="72">
        <v>6</v>
      </c>
      <c r="H200" s="72">
        <v>29</v>
      </c>
      <c r="I200" s="72">
        <v>46</v>
      </c>
      <c r="J200" s="72">
        <v>960</v>
      </c>
      <c r="K200" s="72">
        <v>150</v>
      </c>
      <c r="L200" s="72">
        <v>6</v>
      </c>
      <c r="M200" s="72">
        <v>26</v>
      </c>
      <c r="N200" s="72">
        <v>160</v>
      </c>
      <c r="O200" s="72">
        <v>0</v>
      </c>
      <c r="P200" s="72">
        <v>0</v>
      </c>
      <c r="Q200" s="67"/>
      <c r="R200" s="67"/>
      <c r="S200" s="67"/>
      <c r="T200" s="67"/>
      <c r="U200" s="67"/>
      <c r="V200" s="67"/>
      <c r="W200" s="67"/>
      <c r="X200" s="72">
        <v>10</v>
      </c>
      <c r="Y200" s="72"/>
    </row>
    <row r="201" spans="1:25" s="15" customFormat="1" ht="12.75" hidden="1">
      <c r="A201" s="74"/>
      <c r="B201" s="71" t="s">
        <v>82</v>
      </c>
      <c r="C201" s="67">
        <v>615</v>
      </c>
      <c r="D201" s="72">
        <v>8</v>
      </c>
      <c r="E201" s="72">
        <v>9</v>
      </c>
      <c r="F201" s="72">
        <v>25</v>
      </c>
      <c r="G201" s="72">
        <v>0</v>
      </c>
      <c r="H201" s="72">
        <v>60</v>
      </c>
      <c r="I201" s="72">
        <v>426</v>
      </c>
      <c r="J201" s="72">
        <v>558</v>
      </c>
      <c r="K201" s="72">
        <v>100</v>
      </c>
      <c r="L201" s="72">
        <v>0</v>
      </c>
      <c r="M201" s="72">
        <v>35</v>
      </c>
      <c r="N201" s="72">
        <v>266</v>
      </c>
      <c r="O201" s="72">
        <v>0</v>
      </c>
      <c r="P201" s="72">
        <v>0</v>
      </c>
      <c r="Q201" s="72">
        <v>1</v>
      </c>
      <c r="R201" s="72">
        <v>2</v>
      </c>
      <c r="S201" s="72">
        <v>2</v>
      </c>
      <c r="T201" s="72">
        <v>1</v>
      </c>
      <c r="U201" s="72">
        <v>0</v>
      </c>
      <c r="V201" s="72">
        <v>0</v>
      </c>
      <c r="W201" s="72">
        <v>0</v>
      </c>
      <c r="X201" s="72">
        <v>7</v>
      </c>
      <c r="Y201" s="72">
        <v>0</v>
      </c>
    </row>
    <row r="202" spans="1:25" s="15" customFormat="1" ht="12.75" hidden="1">
      <c r="A202" s="74"/>
      <c r="B202" s="71" t="s">
        <v>83</v>
      </c>
      <c r="C202" s="67">
        <v>525</v>
      </c>
      <c r="D202" s="72">
        <v>1</v>
      </c>
      <c r="E202" s="72">
        <v>26</v>
      </c>
      <c r="F202" s="72">
        <v>3</v>
      </c>
      <c r="G202" s="72">
        <v>5</v>
      </c>
      <c r="H202" s="72">
        <v>20</v>
      </c>
      <c r="I202" s="72">
        <v>6</v>
      </c>
      <c r="J202" s="72">
        <v>828</v>
      </c>
      <c r="K202" s="72">
        <v>36</v>
      </c>
      <c r="L202" s="72">
        <v>0</v>
      </c>
      <c r="M202" s="72">
        <v>0</v>
      </c>
      <c r="N202" s="72">
        <v>70</v>
      </c>
      <c r="O202" s="72">
        <v>0</v>
      </c>
      <c r="P202" s="72">
        <v>0</v>
      </c>
      <c r="Q202" s="72">
        <v>2</v>
      </c>
      <c r="R202" s="72">
        <v>1</v>
      </c>
      <c r="S202" s="72">
        <v>1</v>
      </c>
      <c r="T202" s="72">
        <v>0</v>
      </c>
      <c r="U202" s="72">
        <v>1</v>
      </c>
      <c r="V202" s="72">
        <v>0</v>
      </c>
      <c r="W202" s="72">
        <v>0</v>
      </c>
      <c r="X202" s="72">
        <v>0</v>
      </c>
      <c r="Y202" s="72">
        <v>0</v>
      </c>
    </row>
    <row r="203" spans="1:25" s="15" customFormat="1" ht="12.75" hidden="1">
      <c r="A203" s="74"/>
      <c r="B203" s="71" t="s">
        <v>85</v>
      </c>
      <c r="C203" s="67">
        <v>529</v>
      </c>
      <c r="D203" s="72">
        <v>0</v>
      </c>
      <c r="E203" s="72">
        <v>32</v>
      </c>
      <c r="F203" s="72">
        <v>8</v>
      </c>
      <c r="G203" s="72">
        <v>0</v>
      </c>
      <c r="H203" s="72">
        <v>20</v>
      </c>
      <c r="I203" s="72">
        <v>90</v>
      </c>
      <c r="J203" s="72">
        <v>332</v>
      </c>
      <c r="K203" s="72">
        <v>210</v>
      </c>
      <c r="L203" s="72">
        <v>10</v>
      </c>
      <c r="M203" s="72">
        <v>90</v>
      </c>
      <c r="N203" s="72">
        <v>195</v>
      </c>
      <c r="O203" s="72">
        <v>0</v>
      </c>
      <c r="P203" s="72">
        <v>0</v>
      </c>
      <c r="Q203" s="72">
        <v>2</v>
      </c>
      <c r="R203" s="72">
        <v>2</v>
      </c>
      <c r="S203" s="72">
        <v>2</v>
      </c>
      <c r="T203" s="72">
        <v>2</v>
      </c>
      <c r="U203" s="72">
        <v>3</v>
      </c>
      <c r="V203" s="72">
        <v>0</v>
      </c>
      <c r="W203" s="72">
        <v>0</v>
      </c>
      <c r="X203" s="72">
        <v>1</v>
      </c>
      <c r="Y203" s="72">
        <v>1</v>
      </c>
    </row>
    <row r="204" spans="1:25" s="15" customFormat="1" ht="12.75" hidden="1">
      <c r="A204" s="74"/>
      <c r="B204" s="71" t="s">
        <v>86</v>
      </c>
      <c r="C204" s="67">
        <v>532</v>
      </c>
      <c r="D204" s="72">
        <v>3</v>
      </c>
      <c r="E204" s="72">
        <v>15</v>
      </c>
      <c r="F204" s="72">
        <v>6</v>
      </c>
      <c r="G204" s="72">
        <v>5</v>
      </c>
      <c r="H204" s="72">
        <v>21</v>
      </c>
      <c r="I204" s="72">
        <v>54</v>
      </c>
      <c r="J204" s="72">
        <v>478</v>
      </c>
      <c r="K204" s="72">
        <v>65</v>
      </c>
      <c r="L204" s="72">
        <v>2</v>
      </c>
      <c r="M204" s="72">
        <v>150</v>
      </c>
      <c r="N204" s="72">
        <v>188</v>
      </c>
      <c r="O204" s="72">
        <v>0</v>
      </c>
      <c r="P204" s="72">
        <v>0</v>
      </c>
      <c r="Q204" s="72">
        <v>3</v>
      </c>
      <c r="R204" s="72">
        <v>2</v>
      </c>
      <c r="S204" s="72">
        <v>1</v>
      </c>
      <c r="T204" s="72">
        <v>3</v>
      </c>
      <c r="U204" s="72">
        <v>2</v>
      </c>
      <c r="V204" s="72">
        <v>0</v>
      </c>
      <c r="W204" s="72">
        <v>0</v>
      </c>
      <c r="X204" s="72">
        <v>1</v>
      </c>
      <c r="Y204" s="72">
        <v>1</v>
      </c>
    </row>
    <row r="205" spans="1:25" s="15" customFormat="1" ht="12.75" hidden="1">
      <c r="A205" s="74"/>
      <c r="B205" s="71" t="s">
        <v>87</v>
      </c>
      <c r="C205" s="67">
        <v>504</v>
      </c>
      <c r="D205" s="72">
        <v>3</v>
      </c>
      <c r="E205" s="72">
        <v>23</v>
      </c>
      <c r="F205" s="72">
        <v>12</v>
      </c>
      <c r="G205" s="72">
        <v>4</v>
      </c>
      <c r="H205" s="72">
        <v>62</v>
      </c>
      <c r="I205" s="72">
        <v>110</v>
      </c>
      <c r="J205" s="72">
        <v>500</v>
      </c>
      <c r="K205" s="72">
        <v>142</v>
      </c>
      <c r="L205" s="72">
        <v>5</v>
      </c>
      <c r="M205" s="72">
        <v>162</v>
      </c>
      <c r="N205" s="72">
        <v>500</v>
      </c>
      <c r="O205" s="72">
        <v>0</v>
      </c>
      <c r="P205" s="72">
        <v>7</v>
      </c>
      <c r="Q205" s="67">
        <v>0</v>
      </c>
      <c r="R205" s="67">
        <v>0</v>
      </c>
      <c r="S205" s="67">
        <v>0</v>
      </c>
      <c r="T205" s="67">
        <v>0</v>
      </c>
      <c r="U205" s="67">
        <v>0</v>
      </c>
      <c r="V205" s="67">
        <v>0</v>
      </c>
      <c r="W205" s="67">
        <v>0</v>
      </c>
      <c r="X205" s="72">
        <v>1</v>
      </c>
      <c r="Y205" s="72">
        <v>1</v>
      </c>
    </row>
    <row r="206" spans="1:25" s="15" customFormat="1" ht="12.75" hidden="1">
      <c r="A206" s="74"/>
      <c r="B206" s="71" t="s">
        <v>70</v>
      </c>
      <c r="C206" s="67">
        <v>513</v>
      </c>
      <c r="D206" s="72">
        <v>5</v>
      </c>
      <c r="E206" s="72">
        <v>19</v>
      </c>
      <c r="F206" s="72">
        <v>5</v>
      </c>
      <c r="G206" s="72">
        <v>2</v>
      </c>
      <c r="H206" s="72">
        <v>35</v>
      </c>
      <c r="I206" s="72">
        <v>41</v>
      </c>
      <c r="J206" s="72">
        <v>550</v>
      </c>
      <c r="K206" s="72">
        <v>83</v>
      </c>
      <c r="L206" s="72">
        <v>0</v>
      </c>
      <c r="M206" s="72">
        <v>35</v>
      </c>
      <c r="N206" s="72">
        <v>201</v>
      </c>
      <c r="O206" s="72">
        <v>0</v>
      </c>
      <c r="P206" s="72">
        <v>15</v>
      </c>
      <c r="Q206" s="72">
        <v>5</v>
      </c>
      <c r="R206" s="72">
        <v>0</v>
      </c>
      <c r="S206" s="72">
        <v>0</v>
      </c>
      <c r="T206" s="72">
        <v>1</v>
      </c>
      <c r="U206" s="72">
        <v>2</v>
      </c>
      <c r="V206" s="72">
        <v>0</v>
      </c>
      <c r="W206" s="72">
        <v>0</v>
      </c>
      <c r="X206" s="72">
        <v>1</v>
      </c>
      <c r="Y206" s="72">
        <v>0</v>
      </c>
    </row>
    <row r="207" spans="1:25" s="15" customFormat="1" ht="12.75" hidden="1">
      <c r="A207" s="74"/>
      <c r="B207" s="71" t="s">
        <v>71</v>
      </c>
      <c r="C207" s="67">
        <v>516</v>
      </c>
      <c r="D207" s="72">
        <v>0</v>
      </c>
      <c r="E207" s="72">
        <v>18</v>
      </c>
      <c r="F207" s="72">
        <v>3</v>
      </c>
      <c r="G207" s="72">
        <v>0</v>
      </c>
      <c r="H207" s="72">
        <v>36</v>
      </c>
      <c r="I207" s="72">
        <v>45</v>
      </c>
      <c r="J207" s="72">
        <v>698</v>
      </c>
      <c r="K207" s="72">
        <v>74</v>
      </c>
      <c r="L207" s="72">
        <v>0</v>
      </c>
      <c r="M207" s="72">
        <v>28</v>
      </c>
      <c r="N207" s="72">
        <v>95</v>
      </c>
      <c r="O207" s="72">
        <v>0</v>
      </c>
      <c r="P207" s="72">
        <v>0</v>
      </c>
      <c r="Q207" s="72">
        <v>0</v>
      </c>
      <c r="R207" s="72">
        <v>3</v>
      </c>
      <c r="S207" s="72">
        <v>0</v>
      </c>
      <c r="T207" s="72">
        <v>0</v>
      </c>
      <c r="U207" s="72">
        <v>0</v>
      </c>
      <c r="V207" s="72">
        <v>0</v>
      </c>
      <c r="W207" s="72">
        <v>0</v>
      </c>
      <c r="X207" s="72">
        <v>0</v>
      </c>
      <c r="Y207" s="72"/>
    </row>
    <row r="208" spans="10:11" s="15" customFormat="1" ht="12.75" hidden="1">
      <c r="J208" s="58"/>
      <c r="K208" s="62"/>
    </row>
    <row r="209" spans="10:11" s="15" customFormat="1" ht="12.75" hidden="1">
      <c r="J209" s="58"/>
      <c r="K209" s="62"/>
    </row>
    <row r="210" spans="10:11" s="15" customFormat="1" ht="12.75" hidden="1">
      <c r="J210" s="58"/>
      <c r="K210" s="62"/>
    </row>
    <row r="211" spans="10:11" s="15" customFormat="1" ht="12.75" hidden="1">
      <c r="J211" s="58"/>
      <c r="K211" s="62"/>
    </row>
    <row r="212" spans="4:11" s="15" customFormat="1" ht="12.75" hidden="1">
      <c r="D212" s="15" t="s">
        <v>95</v>
      </c>
      <c r="J212" s="58"/>
      <c r="K212" s="62"/>
    </row>
    <row r="213" spans="2:25" s="15" customFormat="1" ht="15" hidden="1">
      <c r="B213" s="71" t="s">
        <v>72</v>
      </c>
      <c r="C213" s="67">
        <v>536</v>
      </c>
      <c r="D213" s="72">
        <v>6</v>
      </c>
      <c r="E213" s="72">
        <v>30</v>
      </c>
      <c r="F213" s="75">
        <v>20</v>
      </c>
      <c r="G213" s="75">
        <v>1</v>
      </c>
      <c r="H213" s="73">
        <v>130</v>
      </c>
      <c r="I213" s="73">
        <v>62</v>
      </c>
      <c r="J213" s="73">
        <v>1100</v>
      </c>
      <c r="K213" s="73">
        <v>175</v>
      </c>
      <c r="L213" s="73">
        <v>10</v>
      </c>
      <c r="M213" s="73">
        <v>10</v>
      </c>
      <c r="N213" s="73">
        <v>446</v>
      </c>
      <c r="O213" s="73"/>
      <c r="P213" s="73"/>
      <c r="Q213" s="73">
        <v>3</v>
      </c>
      <c r="R213" s="73">
        <v>6</v>
      </c>
      <c r="S213" s="73"/>
      <c r="T213" s="73"/>
      <c r="U213" s="73"/>
      <c r="V213" s="73"/>
      <c r="W213" s="73"/>
      <c r="X213" s="73">
        <v>1</v>
      </c>
      <c r="Y213" s="73"/>
    </row>
    <row r="214" spans="2:25" ht="12.75" hidden="1">
      <c r="B214" s="71" t="s">
        <v>73</v>
      </c>
      <c r="C214" s="67">
        <v>508</v>
      </c>
      <c r="D214" s="72">
        <v>1</v>
      </c>
      <c r="E214" s="72">
        <v>27</v>
      </c>
      <c r="F214" s="72">
        <v>10</v>
      </c>
      <c r="G214" s="73">
        <v>0</v>
      </c>
      <c r="H214" s="73">
        <v>42</v>
      </c>
      <c r="I214" s="73">
        <v>18</v>
      </c>
      <c r="J214" s="73">
        <v>574</v>
      </c>
      <c r="K214" s="73">
        <v>433</v>
      </c>
      <c r="L214" s="73">
        <v>10</v>
      </c>
      <c r="M214" s="73">
        <v>169</v>
      </c>
      <c r="N214" s="73">
        <v>178</v>
      </c>
      <c r="O214" s="73">
        <v>0</v>
      </c>
      <c r="P214" s="73">
        <v>17</v>
      </c>
      <c r="Q214" s="73">
        <v>0</v>
      </c>
      <c r="R214" s="73">
        <v>2</v>
      </c>
      <c r="S214" s="73">
        <v>11</v>
      </c>
      <c r="T214" s="73">
        <v>5</v>
      </c>
      <c r="U214" s="73">
        <v>1</v>
      </c>
      <c r="V214" s="73">
        <v>0</v>
      </c>
      <c r="W214" s="73">
        <v>0</v>
      </c>
      <c r="X214" s="73">
        <v>1</v>
      </c>
      <c r="Y214" s="73">
        <v>1</v>
      </c>
    </row>
    <row r="215" spans="2:25" ht="12.75" hidden="1">
      <c r="B215" s="71" t="s">
        <v>74</v>
      </c>
      <c r="C215" s="67">
        <v>509</v>
      </c>
      <c r="D215" s="72">
        <v>3</v>
      </c>
      <c r="E215" s="72">
        <v>41</v>
      </c>
      <c r="F215" s="72">
        <v>1</v>
      </c>
      <c r="G215" s="73">
        <v>3</v>
      </c>
      <c r="H215" s="73">
        <v>12</v>
      </c>
      <c r="I215" s="73">
        <v>37</v>
      </c>
      <c r="J215" s="73">
        <v>728</v>
      </c>
      <c r="K215" s="73">
        <v>23</v>
      </c>
      <c r="L215" s="73">
        <v>1</v>
      </c>
      <c r="M215" s="73">
        <v>45</v>
      </c>
      <c r="N215" s="73">
        <v>95</v>
      </c>
      <c r="O215" s="73"/>
      <c r="P215" s="73"/>
      <c r="Q215" s="73">
        <v>1</v>
      </c>
      <c r="R215" s="73">
        <v>1</v>
      </c>
      <c r="S215" s="73">
        <v>1</v>
      </c>
      <c r="T215" s="73">
        <v>5</v>
      </c>
      <c r="U215" s="73">
        <v>1</v>
      </c>
      <c r="V215" s="73"/>
      <c r="W215" s="73"/>
      <c r="X215" s="73">
        <v>1</v>
      </c>
      <c r="Y215" s="73">
        <v>1</v>
      </c>
    </row>
    <row r="216" spans="2:25" ht="12.75" hidden="1">
      <c r="B216" s="71" t="s">
        <v>75</v>
      </c>
      <c r="C216" s="67">
        <v>510</v>
      </c>
      <c r="D216" s="72">
        <v>5</v>
      </c>
      <c r="E216" s="72">
        <v>5</v>
      </c>
      <c r="F216" s="72">
        <v>18</v>
      </c>
      <c r="G216" s="73"/>
      <c r="H216" s="73">
        <v>16</v>
      </c>
      <c r="I216" s="73">
        <v>61</v>
      </c>
      <c r="J216" s="73">
        <v>413</v>
      </c>
      <c r="K216" s="73">
        <v>224</v>
      </c>
      <c r="L216" s="73"/>
      <c r="M216" s="73">
        <v>40</v>
      </c>
      <c r="N216" s="73">
        <v>205</v>
      </c>
      <c r="O216" s="73">
        <v>2</v>
      </c>
      <c r="P216" s="73">
        <v>2</v>
      </c>
      <c r="Q216" s="73">
        <v>5</v>
      </c>
      <c r="R216" s="73"/>
      <c r="S216" s="73"/>
      <c r="T216" s="73"/>
      <c r="U216" s="73"/>
      <c r="V216" s="73">
        <v>2</v>
      </c>
      <c r="W216" s="73"/>
      <c r="X216" s="73">
        <v>1</v>
      </c>
      <c r="Y216" s="73">
        <v>1</v>
      </c>
    </row>
    <row r="217" spans="2:25" ht="12.75" hidden="1">
      <c r="B217" s="71" t="s">
        <v>76</v>
      </c>
      <c r="C217" s="67">
        <v>512</v>
      </c>
      <c r="D217" s="72">
        <v>0</v>
      </c>
      <c r="E217" s="72">
        <v>14</v>
      </c>
      <c r="F217" s="72">
        <v>9</v>
      </c>
      <c r="G217" s="73">
        <v>2</v>
      </c>
      <c r="H217" s="73">
        <v>23</v>
      </c>
      <c r="I217" s="73">
        <v>24</v>
      </c>
      <c r="J217" s="73">
        <v>585</v>
      </c>
      <c r="K217" s="73">
        <v>236</v>
      </c>
      <c r="L217" s="73">
        <v>0</v>
      </c>
      <c r="M217" s="73">
        <v>18</v>
      </c>
      <c r="N217" s="73">
        <v>83</v>
      </c>
      <c r="O217" s="73">
        <v>0</v>
      </c>
      <c r="P217" s="73">
        <v>0</v>
      </c>
      <c r="Q217" s="73">
        <v>0</v>
      </c>
      <c r="R217" s="73">
        <v>1</v>
      </c>
      <c r="S217" s="73">
        <v>2</v>
      </c>
      <c r="T217" s="73">
        <v>3</v>
      </c>
      <c r="U217" s="73"/>
      <c r="V217" s="73"/>
      <c r="W217" s="73"/>
      <c r="X217" s="73">
        <v>0</v>
      </c>
      <c r="Y217" s="73">
        <v>0</v>
      </c>
    </row>
    <row r="218" spans="2:25" ht="15" hidden="1">
      <c r="B218" s="71" t="s">
        <v>77</v>
      </c>
      <c r="C218" s="67">
        <v>511</v>
      </c>
      <c r="D218" s="72">
        <v>0</v>
      </c>
      <c r="E218" s="72">
        <v>22</v>
      </c>
      <c r="F218" s="75">
        <v>3</v>
      </c>
      <c r="G218" s="73">
        <v>0</v>
      </c>
      <c r="H218" s="73">
        <v>50</v>
      </c>
      <c r="I218" s="73">
        <v>0</v>
      </c>
      <c r="J218" s="73">
        <v>738</v>
      </c>
      <c r="K218" s="73">
        <v>20</v>
      </c>
      <c r="L218" s="73">
        <v>0</v>
      </c>
      <c r="M218" s="73">
        <v>20</v>
      </c>
      <c r="N218" s="73">
        <v>140</v>
      </c>
      <c r="O218" s="73">
        <v>0</v>
      </c>
      <c r="P218" s="73">
        <v>0</v>
      </c>
      <c r="Q218" s="73">
        <v>0</v>
      </c>
      <c r="R218" s="73">
        <v>5</v>
      </c>
      <c r="S218" s="73">
        <v>0</v>
      </c>
      <c r="T218" s="73">
        <v>0</v>
      </c>
      <c r="U218" s="73">
        <v>0</v>
      </c>
      <c r="V218" s="73">
        <v>0</v>
      </c>
      <c r="W218" s="73">
        <v>0</v>
      </c>
      <c r="X218" s="73">
        <v>1</v>
      </c>
      <c r="Y218" s="73">
        <v>1</v>
      </c>
    </row>
    <row r="219" spans="2:25" ht="12.75" hidden="1">
      <c r="B219" s="71" t="s">
        <v>78</v>
      </c>
      <c r="C219" s="67">
        <v>514</v>
      </c>
      <c r="D219" s="72">
        <v>2</v>
      </c>
      <c r="E219" s="72">
        <v>12</v>
      </c>
      <c r="F219" s="72">
        <v>20</v>
      </c>
      <c r="G219" s="73">
        <v>1</v>
      </c>
      <c r="H219" s="73">
        <v>25</v>
      </c>
      <c r="I219" s="73">
        <v>197</v>
      </c>
      <c r="J219" s="73">
        <v>485</v>
      </c>
      <c r="K219" s="73">
        <v>80</v>
      </c>
      <c r="L219" s="73">
        <v>1</v>
      </c>
      <c r="M219" s="73">
        <v>17</v>
      </c>
      <c r="N219" s="73">
        <v>153</v>
      </c>
      <c r="O219" s="73">
        <v>0</v>
      </c>
      <c r="P219" s="73">
        <v>0</v>
      </c>
      <c r="Q219" s="73">
        <v>7</v>
      </c>
      <c r="R219" s="73">
        <v>0</v>
      </c>
      <c r="S219" s="73">
        <v>0</v>
      </c>
      <c r="T219" s="73">
        <v>0</v>
      </c>
      <c r="U219" s="73">
        <v>0</v>
      </c>
      <c r="V219" s="73">
        <v>0</v>
      </c>
      <c r="W219" s="73">
        <v>0</v>
      </c>
      <c r="X219" s="73">
        <v>0</v>
      </c>
      <c r="Y219" s="73">
        <v>0</v>
      </c>
    </row>
    <row r="220" spans="2:25" ht="12.75" hidden="1">
      <c r="B220" s="71" t="s">
        <v>79</v>
      </c>
      <c r="C220" s="67">
        <v>537</v>
      </c>
      <c r="D220" s="72">
        <v>1</v>
      </c>
      <c r="E220" s="72">
        <v>5</v>
      </c>
      <c r="F220" s="72">
        <v>2</v>
      </c>
      <c r="G220" s="73">
        <v>1</v>
      </c>
      <c r="H220" s="73">
        <v>30</v>
      </c>
      <c r="I220" s="73">
        <v>150</v>
      </c>
      <c r="J220" s="73">
        <v>502</v>
      </c>
      <c r="K220" s="73">
        <v>95</v>
      </c>
      <c r="L220" s="73">
        <v>0</v>
      </c>
      <c r="M220" s="73">
        <v>10</v>
      </c>
      <c r="N220" s="73">
        <v>148</v>
      </c>
      <c r="O220" s="73">
        <v>0</v>
      </c>
      <c r="P220" s="73">
        <v>41</v>
      </c>
      <c r="Q220" s="73">
        <v>5</v>
      </c>
      <c r="R220" s="73">
        <v>0</v>
      </c>
      <c r="S220" s="73">
        <v>1</v>
      </c>
      <c r="T220" s="73">
        <v>1</v>
      </c>
      <c r="U220" s="73">
        <v>1</v>
      </c>
      <c r="V220" s="73">
        <v>1</v>
      </c>
      <c r="W220" s="73">
        <v>1</v>
      </c>
      <c r="X220" s="73">
        <v>5</v>
      </c>
      <c r="Y220" s="73"/>
    </row>
    <row r="221" spans="2:25" ht="12.75" hidden="1">
      <c r="B221" s="71" t="s">
        <v>80</v>
      </c>
      <c r="C221" s="67">
        <v>502</v>
      </c>
      <c r="D221" s="72">
        <v>0</v>
      </c>
      <c r="E221" s="72">
        <v>37</v>
      </c>
      <c r="F221" s="72">
        <v>20</v>
      </c>
      <c r="G221" s="73">
        <v>2</v>
      </c>
      <c r="H221" s="73">
        <v>141</v>
      </c>
      <c r="I221" s="73">
        <v>55</v>
      </c>
      <c r="J221" s="73">
        <v>1350</v>
      </c>
      <c r="K221" s="73">
        <v>62</v>
      </c>
      <c r="L221" s="73">
        <v>3</v>
      </c>
      <c r="M221" s="73">
        <v>10</v>
      </c>
      <c r="N221" s="73">
        <v>261</v>
      </c>
      <c r="O221" s="73"/>
      <c r="P221" s="73">
        <v>31</v>
      </c>
      <c r="Q221" s="73">
        <v>7</v>
      </c>
      <c r="R221" s="73">
        <v>11</v>
      </c>
      <c r="S221" s="73">
        <v>1</v>
      </c>
      <c r="T221" s="73">
        <v>1</v>
      </c>
      <c r="U221" s="73">
        <v>3</v>
      </c>
      <c r="V221" s="73"/>
      <c r="W221" s="73"/>
      <c r="X221" s="73">
        <v>4</v>
      </c>
      <c r="Y221" s="73">
        <v>1</v>
      </c>
    </row>
    <row r="222" spans="2:25" ht="15" hidden="1">
      <c r="B222" s="71" t="s">
        <v>81</v>
      </c>
      <c r="C222" s="67">
        <v>503</v>
      </c>
      <c r="D222" s="72">
        <v>3</v>
      </c>
      <c r="E222" s="72">
        <v>85</v>
      </c>
      <c r="F222" s="75">
        <v>19</v>
      </c>
      <c r="G222" s="73">
        <v>6</v>
      </c>
      <c r="H222" s="73">
        <v>29</v>
      </c>
      <c r="I222" s="73">
        <v>46</v>
      </c>
      <c r="J222" s="73">
        <v>960</v>
      </c>
      <c r="K222" s="73">
        <v>150</v>
      </c>
      <c r="L222" s="73">
        <v>6</v>
      </c>
      <c r="M222" s="73">
        <v>26</v>
      </c>
      <c r="N222" s="73">
        <v>160</v>
      </c>
      <c r="O222" s="73">
        <v>0</v>
      </c>
      <c r="P222" s="73">
        <v>0</v>
      </c>
      <c r="Q222" s="73"/>
      <c r="R222" s="73"/>
      <c r="S222" s="73"/>
      <c r="T222" s="73"/>
      <c r="U222" s="73"/>
      <c r="V222" s="73"/>
      <c r="W222" s="73"/>
      <c r="X222" s="73">
        <v>10</v>
      </c>
      <c r="Y222" s="73"/>
    </row>
    <row r="223" spans="2:25" ht="15" hidden="1">
      <c r="B223" s="71" t="s">
        <v>82</v>
      </c>
      <c r="C223" s="67">
        <v>615</v>
      </c>
      <c r="D223" s="72">
        <v>8</v>
      </c>
      <c r="E223" s="72">
        <v>9</v>
      </c>
      <c r="F223" s="75">
        <v>25</v>
      </c>
      <c r="G223" s="73">
        <v>0</v>
      </c>
      <c r="H223" s="73">
        <v>60</v>
      </c>
      <c r="I223" s="73">
        <v>426</v>
      </c>
      <c r="J223" s="73">
        <v>558</v>
      </c>
      <c r="K223" s="73">
        <v>100</v>
      </c>
      <c r="L223" s="73">
        <v>0</v>
      </c>
      <c r="M223" s="73">
        <v>35</v>
      </c>
      <c r="N223" s="73">
        <v>266</v>
      </c>
      <c r="O223" s="73">
        <v>0</v>
      </c>
      <c r="P223" s="73">
        <v>0</v>
      </c>
      <c r="Q223" s="73">
        <v>1</v>
      </c>
      <c r="R223" s="73">
        <v>2</v>
      </c>
      <c r="S223" s="73">
        <v>2</v>
      </c>
      <c r="T223" s="73">
        <v>1</v>
      </c>
      <c r="U223" s="73">
        <v>0</v>
      </c>
      <c r="V223" s="73">
        <v>0</v>
      </c>
      <c r="W223" s="73">
        <v>0</v>
      </c>
      <c r="X223" s="73">
        <v>7</v>
      </c>
      <c r="Y223" s="73">
        <v>0</v>
      </c>
    </row>
    <row r="224" spans="2:25" ht="15" hidden="1">
      <c r="B224" s="71" t="s">
        <v>83</v>
      </c>
      <c r="C224" s="67">
        <v>525</v>
      </c>
      <c r="D224" s="72">
        <v>1</v>
      </c>
      <c r="E224" s="72">
        <v>26</v>
      </c>
      <c r="F224" s="75">
        <v>3</v>
      </c>
      <c r="G224" s="73">
        <v>5</v>
      </c>
      <c r="H224" s="73">
        <v>20</v>
      </c>
      <c r="I224" s="73">
        <v>6</v>
      </c>
      <c r="J224" s="73">
        <v>828</v>
      </c>
      <c r="K224" s="73">
        <v>36</v>
      </c>
      <c r="L224" s="73">
        <v>0</v>
      </c>
      <c r="M224" s="73">
        <v>0</v>
      </c>
      <c r="N224" s="73">
        <v>70</v>
      </c>
      <c r="O224" s="73">
        <v>0</v>
      </c>
      <c r="P224" s="73">
        <v>0</v>
      </c>
      <c r="Q224" s="73">
        <v>2</v>
      </c>
      <c r="R224" s="73">
        <v>1</v>
      </c>
      <c r="S224" s="73">
        <v>1</v>
      </c>
      <c r="T224" s="73">
        <v>0</v>
      </c>
      <c r="U224" s="73">
        <v>1</v>
      </c>
      <c r="V224" s="73">
        <v>0</v>
      </c>
      <c r="W224" s="73">
        <v>0</v>
      </c>
      <c r="X224" s="73">
        <v>0</v>
      </c>
      <c r="Y224" s="73">
        <v>0</v>
      </c>
    </row>
    <row r="225" spans="2:25" ht="15" hidden="1">
      <c r="B225" s="71" t="s">
        <v>85</v>
      </c>
      <c r="C225" s="67">
        <v>529</v>
      </c>
      <c r="D225" s="72">
        <v>0</v>
      </c>
      <c r="E225" s="72">
        <v>32</v>
      </c>
      <c r="F225" s="75">
        <v>8</v>
      </c>
      <c r="G225" s="73">
        <v>0</v>
      </c>
      <c r="H225" s="73">
        <v>20</v>
      </c>
      <c r="I225" s="73">
        <v>90</v>
      </c>
      <c r="J225" s="73">
        <v>332</v>
      </c>
      <c r="K225" s="73">
        <v>210</v>
      </c>
      <c r="L225" s="73">
        <v>10</v>
      </c>
      <c r="M225" s="73">
        <v>90</v>
      </c>
      <c r="N225" s="73">
        <v>195</v>
      </c>
      <c r="O225" s="73">
        <v>0</v>
      </c>
      <c r="P225" s="73">
        <v>0</v>
      </c>
      <c r="Q225" s="73">
        <v>2</v>
      </c>
      <c r="R225" s="73">
        <v>2</v>
      </c>
      <c r="S225" s="73">
        <v>2</v>
      </c>
      <c r="T225" s="73">
        <v>2</v>
      </c>
      <c r="U225" s="73">
        <v>3</v>
      </c>
      <c r="V225" s="73">
        <v>0</v>
      </c>
      <c r="W225" s="73">
        <v>0</v>
      </c>
      <c r="X225" s="73">
        <v>1</v>
      </c>
      <c r="Y225" s="73">
        <v>1</v>
      </c>
    </row>
    <row r="226" spans="2:25" ht="12.75" hidden="1">
      <c r="B226" s="71" t="s">
        <v>86</v>
      </c>
      <c r="C226" s="67">
        <v>532</v>
      </c>
      <c r="D226" s="72">
        <v>3</v>
      </c>
      <c r="E226" s="72">
        <v>15</v>
      </c>
      <c r="F226" s="72">
        <v>6</v>
      </c>
      <c r="G226" s="73">
        <v>5</v>
      </c>
      <c r="H226" s="73">
        <v>21</v>
      </c>
      <c r="I226" s="73">
        <v>54</v>
      </c>
      <c r="J226" s="73">
        <v>478</v>
      </c>
      <c r="K226" s="73">
        <v>65</v>
      </c>
      <c r="L226" s="73">
        <v>2</v>
      </c>
      <c r="M226" s="73">
        <v>150</v>
      </c>
      <c r="N226" s="73">
        <v>188</v>
      </c>
      <c r="O226" s="73">
        <v>0</v>
      </c>
      <c r="P226" s="73">
        <v>0</v>
      </c>
      <c r="Q226" s="73">
        <v>3</v>
      </c>
      <c r="R226" s="73">
        <v>2</v>
      </c>
      <c r="S226" s="73">
        <v>1</v>
      </c>
      <c r="T226" s="73">
        <v>3</v>
      </c>
      <c r="U226" s="73">
        <v>2</v>
      </c>
      <c r="V226" s="73">
        <v>0</v>
      </c>
      <c r="W226" s="73">
        <v>0</v>
      </c>
      <c r="X226" s="73">
        <v>1</v>
      </c>
      <c r="Y226" s="73">
        <v>1</v>
      </c>
    </row>
    <row r="227" spans="2:25" ht="12.75" hidden="1">
      <c r="B227" s="71" t="s">
        <v>87</v>
      </c>
      <c r="C227" s="67">
        <v>504</v>
      </c>
      <c r="D227" s="72">
        <v>3</v>
      </c>
      <c r="E227" s="72">
        <v>23</v>
      </c>
      <c r="F227" s="72">
        <v>12</v>
      </c>
      <c r="G227" s="73">
        <v>4</v>
      </c>
      <c r="H227" s="73">
        <v>62</v>
      </c>
      <c r="I227" s="73">
        <v>110</v>
      </c>
      <c r="J227" s="73">
        <v>500</v>
      </c>
      <c r="K227" s="73">
        <v>142</v>
      </c>
      <c r="L227" s="73">
        <v>5</v>
      </c>
      <c r="M227" s="73">
        <v>162</v>
      </c>
      <c r="N227" s="73">
        <v>500</v>
      </c>
      <c r="O227" s="73">
        <v>0</v>
      </c>
      <c r="P227" s="73">
        <v>7</v>
      </c>
      <c r="Q227" s="73">
        <v>0</v>
      </c>
      <c r="R227" s="73">
        <v>0</v>
      </c>
      <c r="S227" s="73">
        <v>0</v>
      </c>
      <c r="T227" s="73">
        <v>0</v>
      </c>
      <c r="U227" s="73">
        <v>0</v>
      </c>
      <c r="V227" s="73">
        <v>0</v>
      </c>
      <c r="W227" s="73">
        <v>0</v>
      </c>
      <c r="X227" s="73">
        <v>1</v>
      </c>
      <c r="Y227" s="73">
        <v>1</v>
      </c>
    </row>
    <row r="228" spans="2:25" ht="12.75" hidden="1">
      <c r="B228" s="71" t="s">
        <v>70</v>
      </c>
      <c r="C228" s="67">
        <v>513</v>
      </c>
      <c r="D228" s="72">
        <v>5</v>
      </c>
      <c r="E228" s="72">
        <v>19</v>
      </c>
      <c r="F228" s="72">
        <v>5</v>
      </c>
      <c r="G228" s="73">
        <v>2</v>
      </c>
      <c r="H228" s="73">
        <v>35</v>
      </c>
      <c r="I228" s="73">
        <v>41</v>
      </c>
      <c r="J228" s="72">
        <v>550</v>
      </c>
      <c r="K228" s="72">
        <v>83</v>
      </c>
      <c r="L228" s="72">
        <v>0</v>
      </c>
      <c r="M228" s="72">
        <v>35</v>
      </c>
      <c r="N228" s="72">
        <v>201</v>
      </c>
      <c r="O228" s="72">
        <v>0</v>
      </c>
      <c r="P228" s="72">
        <v>15</v>
      </c>
      <c r="Q228" s="72">
        <v>5</v>
      </c>
      <c r="R228" s="72">
        <v>0</v>
      </c>
      <c r="S228" s="72">
        <v>0</v>
      </c>
      <c r="T228" s="72">
        <v>1</v>
      </c>
      <c r="U228" s="72">
        <v>2</v>
      </c>
      <c r="V228" s="72">
        <v>0</v>
      </c>
      <c r="W228" s="72">
        <v>0</v>
      </c>
      <c r="X228" s="72">
        <v>1</v>
      </c>
      <c r="Y228" s="72">
        <v>0</v>
      </c>
    </row>
    <row r="229" spans="2:25" ht="12.75" hidden="1">
      <c r="B229" s="71" t="s">
        <v>71</v>
      </c>
      <c r="C229" s="67">
        <v>516</v>
      </c>
      <c r="D229" s="72">
        <v>0</v>
      </c>
      <c r="E229" s="72">
        <v>18</v>
      </c>
      <c r="F229" s="72">
        <v>3</v>
      </c>
      <c r="G229" s="73">
        <v>0</v>
      </c>
      <c r="H229" s="73">
        <v>36</v>
      </c>
      <c r="I229" s="73">
        <v>45</v>
      </c>
      <c r="J229" s="73">
        <v>698</v>
      </c>
      <c r="K229" s="73">
        <v>74</v>
      </c>
      <c r="L229" s="73">
        <v>0</v>
      </c>
      <c r="M229" s="73">
        <v>28</v>
      </c>
      <c r="N229" s="73">
        <v>95</v>
      </c>
      <c r="O229" s="73">
        <v>0</v>
      </c>
      <c r="P229" s="73">
        <v>0</v>
      </c>
      <c r="Q229" s="73">
        <v>0</v>
      </c>
      <c r="R229" s="73">
        <v>3</v>
      </c>
      <c r="S229" s="73">
        <v>0</v>
      </c>
      <c r="T229" s="73">
        <v>0</v>
      </c>
      <c r="U229" s="73">
        <v>0</v>
      </c>
      <c r="V229" s="73">
        <v>0</v>
      </c>
      <c r="W229" s="73">
        <v>0</v>
      </c>
      <c r="X229" s="73">
        <v>0</v>
      </c>
      <c r="Y229" s="73"/>
    </row>
    <row r="230" ht="12.75" hidden="1"/>
    <row r="231" ht="12.75" hidden="1"/>
    <row r="232" ht="13.5" customHeight="1"/>
  </sheetData>
  <sheetProtection password="CC71" sheet="1"/>
  <mergeCells count="67">
    <mergeCell ref="A133:A135"/>
    <mergeCell ref="A110:A111"/>
    <mergeCell ref="A112:K112"/>
    <mergeCell ref="A113:A115"/>
    <mergeCell ref="A117:K117"/>
    <mergeCell ref="A118:A120"/>
    <mergeCell ref="A79:K79"/>
    <mergeCell ref="A80:A84"/>
    <mergeCell ref="A86:K86"/>
    <mergeCell ref="A87:A91"/>
    <mergeCell ref="A108:A109"/>
    <mergeCell ref="B108:J109"/>
    <mergeCell ref="A93:K93"/>
    <mergeCell ref="A94:A98"/>
    <mergeCell ref="A100:K100"/>
    <mergeCell ref="A58:K58"/>
    <mergeCell ref="A65:K65"/>
    <mergeCell ref="A66:A70"/>
    <mergeCell ref="A72:K72"/>
    <mergeCell ref="A59:A63"/>
    <mergeCell ref="A73:A77"/>
    <mergeCell ref="A40:A44"/>
    <mergeCell ref="A49:A50"/>
    <mergeCell ref="B47:J48"/>
    <mergeCell ref="A47:A48"/>
    <mergeCell ref="A51:K51"/>
    <mergeCell ref="A52:A56"/>
    <mergeCell ref="B3:C3"/>
    <mergeCell ref="A11:K11"/>
    <mergeCell ref="A18:K18"/>
    <mergeCell ref="A19:A23"/>
    <mergeCell ref="A25:K25"/>
    <mergeCell ref="A26:A30"/>
    <mergeCell ref="B7:J8"/>
    <mergeCell ref="A7:A8"/>
    <mergeCell ref="A9:A10"/>
    <mergeCell ref="G3:J3"/>
    <mergeCell ref="A6:K6"/>
    <mergeCell ref="A1:K1"/>
    <mergeCell ref="A5:K5"/>
    <mergeCell ref="A150:A151"/>
    <mergeCell ref="A152:K152"/>
    <mergeCell ref="A12:A16"/>
    <mergeCell ref="A32:K32"/>
    <mergeCell ref="A33:A37"/>
    <mergeCell ref="A39:K39"/>
    <mergeCell ref="A101:A105"/>
    <mergeCell ref="A175:J176"/>
    <mergeCell ref="A178:J179"/>
    <mergeCell ref="B148:J149"/>
    <mergeCell ref="A148:A149"/>
    <mergeCell ref="B160:J161"/>
    <mergeCell ref="A160:A161"/>
    <mergeCell ref="A162:A163"/>
    <mergeCell ref="A164:K164"/>
    <mergeCell ref="A165:A167"/>
    <mergeCell ref="A153:A157"/>
    <mergeCell ref="A137:K137"/>
    <mergeCell ref="A138:A140"/>
    <mergeCell ref="A142:K142"/>
    <mergeCell ref="A143:A145"/>
    <mergeCell ref="A172:J173"/>
    <mergeCell ref="A122:K122"/>
    <mergeCell ref="A123:A125"/>
    <mergeCell ref="A127:K127"/>
    <mergeCell ref="A128:A130"/>
    <mergeCell ref="A132:K132"/>
  </mergeCells>
  <dataValidations count="1">
    <dataValidation type="list" showInputMessage="1" showErrorMessage="1" sqref="A5:K5">
      <formula1>$B$191:$B$207</formula1>
    </dataValidation>
  </dataValidations>
  <printOptions/>
  <pageMargins left="0.1968503937007874" right="0.1968503937007874" top="0.5118110236220472" bottom="0.2362204724409449" header="1.141732283464567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"/>
  <sheetViews>
    <sheetView zoomScalePageLayoutView="0" workbookViewId="0" topLeftCell="A1">
      <selection activeCell="AG4" sqref="AG4"/>
    </sheetView>
  </sheetViews>
  <sheetFormatPr defaultColWidth="9.00390625" defaultRowHeight="12.75"/>
  <cols>
    <col min="1" max="1" width="29.00390625" style="0" customWidth="1"/>
    <col min="2" max="2" width="4.875" style="0" customWidth="1"/>
    <col min="3" max="5" width="4.375" style="51" customWidth="1"/>
    <col min="6" max="20" width="4.375" style="0" customWidth="1"/>
    <col min="21" max="38" width="5.125" style="23" customWidth="1"/>
  </cols>
  <sheetData>
    <row r="1" spans="1:20" ht="12.75">
      <c r="A1" s="45" t="s">
        <v>12</v>
      </c>
      <c r="B1" s="46" t="s">
        <v>28</v>
      </c>
      <c r="C1" s="49" t="s">
        <v>52</v>
      </c>
      <c r="D1" s="49" t="s">
        <v>53</v>
      </c>
      <c r="E1" s="49" t="s">
        <v>54</v>
      </c>
      <c r="F1" s="47" t="s">
        <v>55</v>
      </c>
      <c r="G1" s="47" t="s">
        <v>56</v>
      </c>
      <c r="H1" s="47" t="s">
        <v>57</v>
      </c>
      <c r="I1" s="48" t="s">
        <v>58</v>
      </c>
      <c r="J1" s="48" t="s">
        <v>59</v>
      </c>
      <c r="K1" s="48" t="s">
        <v>60</v>
      </c>
      <c r="L1" s="48" t="s">
        <v>61</v>
      </c>
      <c r="M1" s="48" t="s">
        <v>62</v>
      </c>
      <c r="N1" s="48" t="s">
        <v>63</v>
      </c>
      <c r="O1" s="48" t="s">
        <v>64</v>
      </c>
      <c r="P1" s="48" t="s">
        <v>65</v>
      </c>
      <c r="Q1" s="48" t="s">
        <v>66</v>
      </c>
      <c r="R1" s="48" t="s">
        <v>67</v>
      </c>
      <c r="S1" s="48" t="s">
        <v>68</v>
      </c>
      <c r="T1" s="48" t="s">
        <v>69</v>
      </c>
    </row>
    <row r="2" spans="1:38" ht="24">
      <c r="A2" s="19" t="s">
        <v>70</v>
      </c>
      <c r="B2" s="46">
        <v>513</v>
      </c>
      <c r="C2" s="50">
        <v>4</v>
      </c>
      <c r="D2" s="50">
        <v>10</v>
      </c>
      <c r="E2" s="50">
        <v>6</v>
      </c>
      <c r="F2" s="50">
        <v>1</v>
      </c>
      <c r="G2" s="50">
        <v>23</v>
      </c>
      <c r="H2" s="50">
        <v>24</v>
      </c>
      <c r="I2" s="50">
        <v>498</v>
      </c>
      <c r="J2" s="50">
        <v>83</v>
      </c>
      <c r="K2" s="50">
        <v>9</v>
      </c>
      <c r="L2" s="50">
        <v>333</v>
      </c>
      <c r="M2" s="50">
        <v>1</v>
      </c>
      <c r="N2" s="50">
        <v>1</v>
      </c>
      <c r="O2" s="50">
        <v>1</v>
      </c>
      <c r="P2" s="50">
        <v>1</v>
      </c>
      <c r="Q2" s="50">
        <v>1</v>
      </c>
      <c r="R2" s="50">
        <v>2</v>
      </c>
      <c r="S2" s="50">
        <v>1</v>
      </c>
      <c r="T2" s="50">
        <v>1</v>
      </c>
      <c r="U2" s="23">
        <f aca="true" t="shared" si="0" ref="U2:AL2">IF(C2&lt;4,C2,INT(C2/4))</f>
        <v>1</v>
      </c>
      <c r="V2" s="23">
        <f t="shared" si="0"/>
        <v>2</v>
      </c>
      <c r="W2" s="23">
        <f t="shared" si="0"/>
        <v>1</v>
      </c>
      <c r="X2" s="23">
        <f t="shared" si="0"/>
        <v>1</v>
      </c>
      <c r="Y2" s="23">
        <f t="shared" si="0"/>
        <v>5</v>
      </c>
      <c r="Z2" s="23">
        <f t="shared" si="0"/>
        <v>6</v>
      </c>
      <c r="AA2" s="23">
        <f t="shared" si="0"/>
        <v>124</v>
      </c>
      <c r="AB2" s="23">
        <f t="shared" si="0"/>
        <v>20</v>
      </c>
      <c r="AC2" s="23">
        <f t="shared" si="0"/>
        <v>2</v>
      </c>
      <c r="AD2" s="23">
        <f t="shared" si="0"/>
        <v>83</v>
      </c>
      <c r="AE2" s="23">
        <f t="shared" si="0"/>
        <v>1</v>
      </c>
      <c r="AF2" s="23">
        <f t="shared" si="0"/>
        <v>1</v>
      </c>
      <c r="AG2" s="23">
        <f t="shared" si="0"/>
        <v>1</v>
      </c>
      <c r="AH2" s="23">
        <f t="shared" si="0"/>
        <v>1</v>
      </c>
      <c r="AI2" s="23">
        <f t="shared" si="0"/>
        <v>1</v>
      </c>
      <c r="AJ2" s="23">
        <f t="shared" si="0"/>
        <v>2</v>
      </c>
      <c r="AK2" s="23">
        <f t="shared" si="0"/>
        <v>1</v>
      </c>
      <c r="AL2" s="23">
        <f t="shared" si="0"/>
        <v>1</v>
      </c>
    </row>
    <row r="3" spans="1:38" ht="24">
      <c r="A3" s="19" t="s">
        <v>71</v>
      </c>
      <c r="B3" s="46">
        <v>516</v>
      </c>
      <c r="C3" s="50">
        <v>1</v>
      </c>
      <c r="D3" s="50">
        <v>34</v>
      </c>
      <c r="E3" s="50">
        <v>3</v>
      </c>
      <c r="F3" s="50">
        <v>1</v>
      </c>
      <c r="G3" s="50">
        <v>17</v>
      </c>
      <c r="H3" s="50">
        <v>32</v>
      </c>
      <c r="I3" s="50">
        <v>625</v>
      </c>
      <c r="J3" s="50">
        <v>79</v>
      </c>
      <c r="K3" s="50">
        <v>26</v>
      </c>
      <c r="L3" s="50">
        <v>174</v>
      </c>
      <c r="M3" s="50">
        <v>1</v>
      </c>
      <c r="N3" s="50">
        <v>1</v>
      </c>
      <c r="O3" s="50">
        <v>1</v>
      </c>
      <c r="P3" s="50">
        <v>1</v>
      </c>
      <c r="Q3" s="50">
        <v>1</v>
      </c>
      <c r="R3" s="50">
        <v>1</v>
      </c>
      <c r="S3" s="50">
        <v>1</v>
      </c>
      <c r="T3" s="50">
        <v>1</v>
      </c>
      <c r="U3" s="23">
        <f aca="true" t="shared" si="1" ref="U3:U19">IF(C3&lt;4,C3,INT(C3/4))</f>
        <v>1</v>
      </c>
      <c r="V3" s="23">
        <f aca="true" t="shared" si="2" ref="V3:V19">IF(D3&lt;4,D3,INT(D3/4))</f>
        <v>8</v>
      </c>
      <c r="W3" s="23">
        <f aca="true" t="shared" si="3" ref="W3:W19">IF(E3&lt;4,E3,INT(E3/4))</f>
        <v>3</v>
      </c>
      <c r="X3" s="23">
        <f aca="true" t="shared" si="4" ref="X3:X19">IF(F3&lt;4,F3,INT(F3/4))</f>
        <v>1</v>
      </c>
      <c r="Y3" s="23">
        <f aca="true" t="shared" si="5" ref="Y3:Y19">IF(G3&lt;4,G3,INT(G3/4))</f>
        <v>4</v>
      </c>
      <c r="Z3" s="23">
        <f aca="true" t="shared" si="6" ref="Z3:Z19">IF(H3&lt;4,H3,INT(H3/4))</f>
        <v>8</v>
      </c>
      <c r="AA3" s="23">
        <f aca="true" t="shared" si="7" ref="AA3:AA19">IF(I3&lt;4,I3,INT(I3/4))</f>
        <v>156</v>
      </c>
      <c r="AB3" s="23">
        <f aca="true" t="shared" si="8" ref="AB3:AB19">IF(J3&lt;4,J3,INT(J3/4))</f>
        <v>19</v>
      </c>
      <c r="AC3" s="23">
        <f aca="true" t="shared" si="9" ref="AC3:AC19">IF(K3&lt;4,K3,INT(K3/4))</f>
        <v>6</v>
      </c>
      <c r="AD3" s="23">
        <f aca="true" t="shared" si="10" ref="AD3:AD19">IF(L3&lt;4,L3,INT(L3/4))</f>
        <v>43</v>
      </c>
      <c r="AE3" s="23">
        <f aca="true" t="shared" si="11" ref="AE3:AE19">IF(M3&lt;4,M3,INT(M3/4))</f>
        <v>1</v>
      </c>
      <c r="AF3" s="23">
        <f aca="true" t="shared" si="12" ref="AF3:AF19">IF(N3&lt;4,N3,INT(N3/4))</f>
        <v>1</v>
      </c>
      <c r="AG3" s="23">
        <f aca="true" t="shared" si="13" ref="AG3:AG19">IF(O3&lt;4,O3,INT(O3/4))</f>
        <v>1</v>
      </c>
      <c r="AH3" s="23">
        <f aca="true" t="shared" si="14" ref="AH3:AH19">IF(P3&lt;4,P3,INT(P3/4))</f>
        <v>1</v>
      </c>
      <c r="AI3" s="23">
        <f aca="true" t="shared" si="15" ref="AI3:AI19">IF(Q3&lt;4,Q3,INT(Q3/4))</f>
        <v>1</v>
      </c>
      <c r="AJ3" s="23">
        <f aca="true" t="shared" si="16" ref="AJ3:AJ19">IF(R3&lt;4,R3,INT(R3/4))</f>
        <v>1</v>
      </c>
      <c r="AK3" s="23">
        <f aca="true" t="shared" si="17" ref="AK3:AK19">IF(S3&lt;4,S3,INT(S3/4))</f>
        <v>1</v>
      </c>
      <c r="AL3" s="23">
        <f aca="true" t="shared" si="18" ref="AL3:AL19">IF(T3&lt;4,T3,INT(T3/4))</f>
        <v>1</v>
      </c>
    </row>
    <row r="4" spans="1:38" ht="24">
      <c r="A4" s="19" t="s">
        <v>72</v>
      </c>
      <c r="B4" s="46">
        <v>536</v>
      </c>
      <c r="C4" s="50">
        <v>35</v>
      </c>
      <c r="D4" s="50">
        <v>42</v>
      </c>
      <c r="E4" s="50">
        <v>19</v>
      </c>
      <c r="F4" s="50">
        <v>11</v>
      </c>
      <c r="G4" s="50">
        <v>80</v>
      </c>
      <c r="H4" s="50">
        <v>35</v>
      </c>
      <c r="I4" s="50">
        <v>411</v>
      </c>
      <c r="J4" s="50">
        <v>213</v>
      </c>
      <c r="K4" s="50">
        <v>10</v>
      </c>
      <c r="L4" s="50">
        <v>1129</v>
      </c>
      <c r="M4" s="50">
        <v>4</v>
      </c>
      <c r="N4" s="50">
        <v>3</v>
      </c>
      <c r="O4" s="50">
        <v>2</v>
      </c>
      <c r="P4" s="50">
        <v>1</v>
      </c>
      <c r="Q4" s="50">
        <v>1</v>
      </c>
      <c r="R4" s="50">
        <v>1</v>
      </c>
      <c r="S4" s="50">
        <v>2</v>
      </c>
      <c r="T4" s="50">
        <v>1</v>
      </c>
      <c r="U4" s="23">
        <f t="shared" si="1"/>
        <v>8</v>
      </c>
      <c r="V4" s="23">
        <f t="shared" si="2"/>
        <v>10</v>
      </c>
      <c r="W4" s="23">
        <f t="shared" si="3"/>
        <v>4</v>
      </c>
      <c r="X4" s="23">
        <f t="shared" si="4"/>
        <v>2</v>
      </c>
      <c r="Y4" s="23">
        <f t="shared" si="5"/>
        <v>20</v>
      </c>
      <c r="Z4" s="23">
        <f t="shared" si="6"/>
        <v>8</v>
      </c>
      <c r="AA4" s="23">
        <f t="shared" si="7"/>
        <v>102</v>
      </c>
      <c r="AB4" s="23">
        <f t="shared" si="8"/>
        <v>53</v>
      </c>
      <c r="AC4" s="23">
        <f t="shared" si="9"/>
        <v>2</v>
      </c>
      <c r="AD4" s="23">
        <f t="shared" si="10"/>
        <v>282</v>
      </c>
      <c r="AE4" s="23">
        <f t="shared" si="11"/>
        <v>1</v>
      </c>
      <c r="AF4" s="23">
        <f t="shared" si="12"/>
        <v>3</v>
      </c>
      <c r="AG4" s="23">
        <f t="shared" si="13"/>
        <v>2</v>
      </c>
      <c r="AH4" s="23">
        <f t="shared" si="14"/>
        <v>1</v>
      </c>
      <c r="AI4" s="23">
        <f t="shared" si="15"/>
        <v>1</v>
      </c>
      <c r="AJ4" s="23">
        <f t="shared" si="16"/>
        <v>1</v>
      </c>
      <c r="AK4" s="23">
        <f t="shared" si="17"/>
        <v>2</v>
      </c>
      <c r="AL4" s="23">
        <f t="shared" si="18"/>
        <v>1</v>
      </c>
    </row>
    <row r="5" spans="1:38" ht="24">
      <c r="A5" s="19" t="s">
        <v>73</v>
      </c>
      <c r="B5" s="46">
        <v>508</v>
      </c>
      <c r="C5" s="50">
        <v>20</v>
      </c>
      <c r="D5" s="50">
        <v>15</v>
      </c>
      <c r="E5" s="50">
        <v>7</v>
      </c>
      <c r="F5" s="50">
        <v>7</v>
      </c>
      <c r="G5" s="50">
        <v>31</v>
      </c>
      <c r="H5" s="50">
        <v>12</v>
      </c>
      <c r="I5" s="50">
        <v>172</v>
      </c>
      <c r="J5" s="50">
        <v>98</v>
      </c>
      <c r="K5" s="50">
        <v>142</v>
      </c>
      <c r="L5" s="50">
        <v>960</v>
      </c>
      <c r="M5" s="50">
        <v>15</v>
      </c>
      <c r="N5" s="50">
        <v>1</v>
      </c>
      <c r="O5" s="50">
        <v>2</v>
      </c>
      <c r="P5" s="50">
        <v>5</v>
      </c>
      <c r="Q5" s="50">
        <v>5</v>
      </c>
      <c r="R5" s="50">
        <v>6</v>
      </c>
      <c r="S5" s="50">
        <v>1</v>
      </c>
      <c r="T5" s="50">
        <v>1</v>
      </c>
      <c r="U5" s="23">
        <f t="shared" si="1"/>
        <v>5</v>
      </c>
      <c r="V5" s="23">
        <f t="shared" si="2"/>
        <v>3</v>
      </c>
      <c r="W5" s="23">
        <f t="shared" si="3"/>
        <v>1</v>
      </c>
      <c r="X5" s="23">
        <f t="shared" si="4"/>
        <v>1</v>
      </c>
      <c r="Y5" s="23">
        <f t="shared" si="5"/>
        <v>7</v>
      </c>
      <c r="Z5" s="23">
        <f t="shared" si="6"/>
        <v>3</v>
      </c>
      <c r="AA5" s="23">
        <f t="shared" si="7"/>
        <v>43</v>
      </c>
      <c r="AB5" s="23">
        <f t="shared" si="8"/>
        <v>24</v>
      </c>
      <c r="AC5" s="23">
        <f t="shared" si="9"/>
        <v>35</v>
      </c>
      <c r="AD5" s="23">
        <f t="shared" si="10"/>
        <v>240</v>
      </c>
      <c r="AE5" s="23">
        <f t="shared" si="11"/>
        <v>3</v>
      </c>
      <c r="AF5" s="23">
        <f t="shared" si="12"/>
        <v>1</v>
      </c>
      <c r="AG5" s="23">
        <f t="shared" si="13"/>
        <v>2</v>
      </c>
      <c r="AH5" s="23">
        <f t="shared" si="14"/>
        <v>1</v>
      </c>
      <c r="AI5" s="23">
        <f t="shared" si="15"/>
        <v>1</v>
      </c>
      <c r="AJ5" s="23">
        <f t="shared" si="16"/>
        <v>1</v>
      </c>
      <c r="AK5" s="23">
        <f t="shared" si="17"/>
        <v>1</v>
      </c>
      <c r="AL5" s="23">
        <f t="shared" si="18"/>
        <v>1</v>
      </c>
    </row>
    <row r="6" spans="1:38" ht="27" customHeight="1">
      <c r="A6" s="19" t="s">
        <v>74</v>
      </c>
      <c r="B6" s="46">
        <v>509</v>
      </c>
      <c r="C6" s="50">
        <v>6</v>
      </c>
      <c r="D6" s="50">
        <v>41</v>
      </c>
      <c r="E6" s="50">
        <v>1</v>
      </c>
      <c r="F6" s="50">
        <v>3</v>
      </c>
      <c r="G6" s="50">
        <v>9</v>
      </c>
      <c r="H6" s="50">
        <v>37</v>
      </c>
      <c r="I6" s="50">
        <v>702</v>
      </c>
      <c r="J6" s="50">
        <v>33</v>
      </c>
      <c r="K6" s="50">
        <v>36</v>
      </c>
      <c r="L6" s="50">
        <v>120</v>
      </c>
      <c r="M6" s="50">
        <v>1</v>
      </c>
      <c r="N6" s="50">
        <v>1</v>
      </c>
      <c r="O6" s="50">
        <v>1</v>
      </c>
      <c r="P6" s="50">
        <v>1</v>
      </c>
      <c r="Q6" s="50">
        <v>5</v>
      </c>
      <c r="R6" s="50">
        <v>1</v>
      </c>
      <c r="S6" s="50">
        <v>1</v>
      </c>
      <c r="T6" s="50">
        <v>1</v>
      </c>
      <c r="U6" s="23">
        <f t="shared" si="1"/>
        <v>1</v>
      </c>
      <c r="V6" s="23">
        <f t="shared" si="2"/>
        <v>10</v>
      </c>
      <c r="W6" s="23">
        <f t="shared" si="3"/>
        <v>1</v>
      </c>
      <c r="X6" s="23">
        <f t="shared" si="4"/>
        <v>3</v>
      </c>
      <c r="Y6" s="23">
        <f t="shared" si="5"/>
        <v>2</v>
      </c>
      <c r="Z6" s="23">
        <f t="shared" si="6"/>
        <v>9</v>
      </c>
      <c r="AA6" s="23">
        <f t="shared" si="7"/>
        <v>175</v>
      </c>
      <c r="AB6" s="23">
        <f t="shared" si="8"/>
        <v>8</v>
      </c>
      <c r="AC6" s="23">
        <f t="shared" si="9"/>
        <v>9</v>
      </c>
      <c r="AD6" s="23">
        <f t="shared" si="10"/>
        <v>30</v>
      </c>
      <c r="AE6" s="23">
        <f t="shared" si="11"/>
        <v>1</v>
      </c>
      <c r="AF6" s="23">
        <f t="shared" si="12"/>
        <v>1</v>
      </c>
      <c r="AG6" s="23">
        <f t="shared" si="13"/>
        <v>1</v>
      </c>
      <c r="AH6" s="23">
        <f t="shared" si="14"/>
        <v>1</v>
      </c>
      <c r="AI6" s="23">
        <f t="shared" si="15"/>
        <v>1</v>
      </c>
      <c r="AJ6" s="23">
        <f t="shared" si="16"/>
        <v>1</v>
      </c>
      <c r="AK6" s="23">
        <f t="shared" si="17"/>
        <v>1</v>
      </c>
      <c r="AL6" s="23">
        <f t="shared" si="18"/>
        <v>1</v>
      </c>
    </row>
    <row r="7" spans="1:38" ht="24">
      <c r="A7" s="19" t="s">
        <v>75</v>
      </c>
      <c r="B7" s="46">
        <v>510</v>
      </c>
      <c r="C7" s="50">
        <v>3</v>
      </c>
      <c r="D7" s="50">
        <v>3</v>
      </c>
      <c r="E7" s="50">
        <v>12</v>
      </c>
      <c r="F7" s="50">
        <v>1</v>
      </c>
      <c r="G7" s="50">
        <v>21</v>
      </c>
      <c r="H7" s="50">
        <v>18</v>
      </c>
      <c r="I7" s="50">
        <v>185</v>
      </c>
      <c r="J7" s="50">
        <v>302</v>
      </c>
      <c r="K7" s="50">
        <v>21</v>
      </c>
      <c r="L7" s="50">
        <v>426</v>
      </c>
      <c r="M7" s="50">
        <v>1</v>
      </c>
      <c r="N7" s="50">
        <v>1</v>
      </c>
      <c r="O7" s="50">
        <v>1</v>
      </c>
      <c r="P7" s="50">
        <v>1</v>
      </c>
      <c r="Q7" s="50">
        <v>1</v>
      </c>
      <c r="R7" s="50">
        <v>1</v>
      </c>
      <c r="S7" s="50">
        <v>1</v>
      </c>
      <c r="T7" s="50">
        <v>1</v>
      </c>
      <c r="U7" s="23">
        <f t="shared" si="1"/>
        <v>3</v>
      </c>
      <c r="V7" s="23">
        <f t="shared" si="2"/>
        <v>3</v>
      </c>
      <c r="W7" s="23">
        <f t="shared" si="3"/>
        <v>3</v>
      </c>
      <c r="X7" s="23">
        <f t="shared" si="4"/>
        <v>1</v>
      </c>
      <c r="Y7" s="23">
        <f t="shared" si="5"/>
        <v>5</v>
      </c>
      <c r="Z7" s="23">
        <f t="shared" si="6"/>
        <v>4</v>
      </c>
      <c r="AA7" s="23">
        <f t="shared" si="7"/>
        <v>46</v>
      </c>
      <c r="AB7" s="23">
        <f t="shared" si="8"/>
        <v>75</v>
      </c>
      <c r="AC7" s="23">
        <f t="shared" si="9"/>
        <v>5</v>
      </c>
      <c r="AD7" s="23">
        <f t="shared" si="10"/>
        <v>106</v>
      </c>
      <c r="AE7" s="23">
        <f t="shared" si="11"/>
        <v>1</v>
      </c>
      <c r="AF7" s="23">
        <f t="shared" si="12"/>
        <v>1</v>
      </c>
      <c r="AG7" s="23">
        <f t="shared" si="13"/>
        <v>1</v>
      </c>
      <c r="AH7" s="23">
        <f t="shared" si="14"/>
        <v>1</v>
      </c>
      <c r="AI7" s="23">
        <f t="shared" si="15"/>
        <v>1</v>
      </c>
      <c r="AJ7" s="23">
        <f t="shared" si="16"/>
        <v>1</v>
      </c>
      <c r="AK7" s="23">
        <f t="shared" si="17"/>
        <v>1</v>
      </c>
      <c r="AL7" s="23">
        <f t="shared" si="18"/>
        <v>1</v>
      </c>
    </row>
    <row r="8" spans="1:38" ht="24.75" customHeight="1">
      <c r="A8" s="19" t="s">
        <v>76</v>
      </c>
      <c r="B8" s="46">
        <v>512</v>
      </c>
      <c r="C8" s="50">
        <v>4</v>
      </c>
      <c r="D8" s="50">
        <v>23</v>
      </c>
      <c r="E8" s="50">
        <v>8</v>
      </c>
      <c r="F8" s="50">
        <v>4</v>
      </c>
      <c r="G8" s="50">
        <v>9</v>
      </c>
      <c r="H8" s="50">
        <v>30</v>
      </c>
      <c r="I8" s="50">
        <v>585</v>
      </c>
      <c r="J8" s="50">
        <v>235</v>
      </c>
      <c r="K8" s="50">
        <v>11</v>
      </c>
      <c r="L8" s="50">
        <v>83</v>
      </c>
      <c r="M8" s="50">
        <v>1</v>
      </c>
      <c r="N8" s="50">
        <v>1</v>
      </c>
      <c r="O8" s="50">
        <v>1</v>
      </c>
      <c r="P8" s="50">
        <v>1</v>
      </c>
      <c r="Q8" s="50">
        <v>1</v>
      </c>
      <c r="R8" s="50">
        <v>1</v>
      </c>
      <c r="S8" s="50">
        <v>1</v>
      </c>
      <c r="T8" s="50">
        <v>1</v>
      </c>
      <c r="U8" s="23">
        <f t="shared" si="1"/>
        <v>1</v>
      </c>
      <c r="V8" s="23">
        <f t="shared" si="2"/>
        <v>5</v>
      </c>
      <c r="W8" s="23">
        <f t="shared" si="3"/>
        <v>2</v>
      </c>
      <c r="X8" s="23">
        <f t="shared" si="4"/>
        <v>1</v>
      </c>
      <c r="Y8" s="23">
        <f t="shared" si="5"/>
        <v>2</v>
      </c>
      <c r="Z8" s="23">
        <f t="shared" si="6"/>
        <v>7</v>
      </c>
      <c r="AA8" s="23">
        <f t="shared" si="7"/>
        <v>146</v>
      </c>
      <c r="AB8" s="23">
        <f t="shared" si="8"/>
        <v>58</v>
      </c>
      <c r="AC8" s="23">
        <f t="shared" si="9"/>
        <v>2</v>
      </c>
      <c r="AD8" s="23">
        <f t="shared" si="10"/>
        <v>20</v>
      </c>
      <c r="AE8" s="23">
        <f t="shared" si="11"/>
        <v>1</v>
      </c>
      <c r="AF8" s="23">
        <f t="shared" si="12"/>
        <v>1</v>
      </c>
      <c r="AG8" s="23">
        <f t="shared" si="13"/>
        <v>1</v>
      </c>
      <c r="AH8" s="23">
        <f t="shared" si="14"/>
        <v>1</v>
      </c>
      <c r="AI8" s="23">
        <f t="shared" si="15"/>
        <v>1</v>
      </c>
      <c r="AJ8" s="23">
        <f t="shared" si="16"/>
        <v>1</v>
      </c>
      <c r="AK8" s="23">
        <f t="shared" si="17"/>
        <v>1</v>
      </c>
      <c r="AL8" s="23">
        <f t="shared" si="18"/>
        <v>1</v>
      </c>
    </row>
    <row r="9" spans="1:38" ht="27" customHeight="1">
      <c r="A9" s="19" t="s">
        <v>77</v>
      </c>
      <c r="B9" s="46">
        <v>511</v>
      </c>
      <c r="C9" s="50">
        <v>5</v>
      </c>
      <c r="D9" s="50">
        <v>39</v>
      </c>
      <c r="E9" s="50">
        <v>3</v>
      </c>
      <c r="F9" s="50">
        <v>2</v>
      </c>
      <c r="G9" s="50">
        <v>21</v>
      </c>
      <c r="H9" s="50">
        <v>127</v>
      </c>
      <c r="I9" s="50">
        <v>716</v>
      </c>
      <c r="J9" s="50">
        <v>5</v>
      </c>
      <c r="K9" s="50">
        <v>1</v>
      </c>
      <c r="L9" s="50">
        <v>73</v>
      </c>
      <c r="M9" s="50">
        <v>1</v>
      </c>
      <c r="N9" s="50">
        <v>1</v>
      </c>
      <c r="O9" s="50">
        <v>1</v>
      </c>
      <c r="P9" s="50">
        <v>1</v>
      </c>
      <c r="Q9" s="50">
        <v>1</v>
      </c>
      <c r="R9" s="50">
        <v>1</v>
      </c>
      <c r="S9" s="50">
        <v>1</v>
      </c>
      <c r="T9" s="50">
        <v>1</v>
      </c>
      <c r="U9" s="23">
        <f t="shared" si="1"/>
        <v>1</v>
      </c>
      <c r="V9" s="23">
        <f t="shared" si="2"/>
        <v>9</v>
      </c>
      <c r="W9" s="23">
        <f t="shared" si="3"/>
        <v>3</v>
      </c>
      <c r="X9" s="23">
        <f t="shared" si="4"/>
        <v>2</v>
      </c>
      <c r="Y9" s="23">
        <f t="shared" si="5"/>
        <v>5</v>
      </c>
      <c r="Z9" s="23">
        <f t="shared" si="6"/>
        <v>31</v>
      </c>
      <c r="AA9" s="23">
        <f t="shared" si="7"/>
        <v>179</v>
      </c>
      <c r="AB9" s="23">
        <f t="shared" si="8"/>
        <v>1</v>
      </c>
      <c r="AC9" s="23">
        <f t="shared" si="9"/>
        <v>1</v>
      </c>
      <c r="AD9" s="23">
        <f t="shared" si="10"/>
        <v>18</v>
      </c>
      <c r="AE9" s="23">
        <f t="shared" si="11"/>
        <v>1</v>
      </c>
      <c r="AF9" s="23">
        <f t="shared" si="12"/>
        <v>1</v>
      </c>
      <c r="AG9" s="23">
        <f t="shared" si="13"/>
        <v>1</v>
      </c>
      <c r="AH9" s="23">
        <f t="shared" si="14"/>
        <v>1</v>
      </c>
      <c r="AI9" s="23">
        <f t="shared" si="15"/>
        <v>1</v>
      </c>
      <c r="AJ9" s="23">
        <f t="shared" si="16"/>
        <v>1</v>
      </c>
      <c r="AK9" s="23">
        <f t="shared" si="17"/>
        <v>1</v>
      </c>
      <c r="AL9" s="23">
        <f t="shared" si="18"/>
        <v>1</v>
      </c>
    </row>
    <row r="10" spans="1:38" ht="24">
      <c r="A10" s="19" t="s">
        <v>78</v>
      </c>
      <c r="B10" s="46">
        <v>514</v>
      </c>
      <c r="C10" s="50">
        <v>3</v>
      </c>
      <c r="D10" s="50">
        <v>11</v>
      </c>
      <c r="E10" s="50">
        <v>10</v>
      </c>
      <c r="F10" s="50">
        <v>1</v>
      </c>
      <c r="G10" s="50">
        <v>25</v>
      </c>
      <c r="H10" s="50">
        <v>197</v>
      </c>
      <c r="I10" s="50">
        <v>350</v>
      </c>
      <c r="J10" s="50">
        <v>175</v>
      </c>
      <c r="K10" s="50">
        <v>17</v>
      </c>
      <c r="L10" s="50">
        <v>203</v>
      </c>
      <c r="M10" s="50">
        <v>1</v>
      </c>
      <c r="N10" s="50">
        <v>1</v>
      </c>
      <c r="O10" s="50">
        <v>1</v>
      </c>
      <c r="P10" s="50">
        <v>1</v>
      </c>
      <c r="Q10" s="50">
        <v>1</v>
      </c>
      <c r="R10" s="50">
        <v>1</v>
      </c>
      <c r="S10" s="50">
        <v>1</v>
      </c>
      <c r="T10" s="50">
        <v>1</v>
      </c>
      <c r="U10" s="23">
        <f t="shared" si="1"/>
        <v>3</v>
      </c>
      <c r="V10" s="23">
        <f t="shared" si="2"/>
        <v>2</v>
      </c>
      <c r="W10" s="23">
        <f t="shared" si="3"/>
        <v>2</v>
      </c>
      <c r="X10" s="23">
        <f t="shared" si="4"/>
        <v>1</v>
      </c>
      <c r="Y10" s="23">
        <f t="shared" si="5"/>
        <v>6</v>
      </c>
      <c r="Z10" s="23">
        <f t="shared" si="6"/>
        <v>49</v>
      </c>
      <c r="AA10" s="23">
        <f t="shared" si="7"/>
        <v>87</v>
      </c>
      <c r="AB10" s="23">
        <f t="shared" si="8"/>
        <v>43</v>
      </c>
      <c r="AC10" s="23">
        <f t="shared" si="9"/>
        <v>4</v>
      </c>
      <c r="AD10" s="23">
        <f t="shared" si="10"/>
        <v>50</v>
      </c>
      <c r="AE10" s="23">
        <f t="shared" si="11"/>
        <v>1</v>
      </c>
      <c r="AF10" s="23">
        <f t="shared" si="12"/>
        <v>1</v>
      </c>
      <c r="AG10" s="23">
        <f t="shared" si="13"/>
        <v>1</v>
      </c>
      <c r="AH10" s="23">
        <f t="shared" si="14"/>
        <v>1</v>
      </c>
      <c r="AI10" s="23">
        <f t="shared" si="15"/>
        <v>1</v>
      </c>
      <c r="AJ10" s="23">
        <f t="shared" si="16"/>
        <v>1</v>
      </c>
      <c r="AK10" s="23">
        <f t="shared" si="17"/>
        <v>1</v>
      </c>
      <c r="AL10" s="23">
        <f t="shared" si="18"/>
        <v>1</v>
      </c>
    </row>
    <row r="11" spans="1:38" ht="26.25" customHeight="1">
      <c r="A11" s="19" t="s">
        <v>79</v>
      </c>
      <c r="B11" s="46">
        <v>537</v>
      </c>
      <c r="C11" s="50">
        <v>3</v>
      </c>
      <c r="D11" s="50">
        <v>11</v>
      </c>
      <c r="E11" s="50">
        <v>11</v>
      </c>
      <c r="F11" s="50">
        <v>1</v>
      </c>
      <c r="G11" s="50">
        <v>13</v>
      </c>
      <c r="H11" s="50">
        <v>88</v>
      </c>
      <c r="I11" s="50">
        <v>501</v>
      </c>
      <c r="J11" s="50">
        <v>184</v>
      </c>
      <c r="K11" s="50">
        <v>2</v>
      </c>
      <c r="L11" s="50">
        <v>173</v>
      </c>
      <c r="M11" s="50">
        <v>2</v>
      </c>
      <c r="N11" s="50">
        <v>5</v>
      </c>
      <c r="O11" s="50">
        <v>1</v>
      </c>
      <c r="P11" s="50">
        <v>1</v>
      </c>
      <c r="Q11" s="50">
        <v>1</v>
      </c>
      <c r="R11" s="50">
        <v>1</v>
      </c>
      <c r="S11" s="50">
        <v>1</v>
      </c>
      <c r="T11" s="50">
        <v>1</v>
      </c>
      <c r="U11" s="23">
        <f t="shared" si="1"/>
        <v>3</v>
      </c>
      <c r="V11" s="23">
        <f t="shared" si="2"/>
        <v>2</v>
      </c>
      <c r="W11" s="23">
        <f t="shared" si="3"/>
        <v>2</v>
      </c>
      <c r="X11" s="23">
        <f t="shared" si="4"/>
        <v>1</v>
      </c>
      <c r="Y11" s="23">
        <f t="shared" si="5"/>
        <v>3</v>
      </c>
      <c r="Z11" s="23">
        <f t="shared" si="6"/>
        <v>22</v>
      </c>
      <c r="AA11" s="23">
        <f t="shared" si="7"/>
        <v>125</v>
      </c>
      <c r="AB11" s="23">
        <f t="shared" si="8"/>
        <v>46</v>
      </c>
      <c r="AC11" s="23">
        <f t="shared" si="9"/>
        <v>2</v>
      </c>
      <c r="AD11" s="23">
        <f t="shared" si="10"/>
        <v>43</v>
      </c>
      <c r="AE11" s="23">
        <f t="shared" si="11"/>
        <v>2</v>
      </c>
      <c r="AF11" s="23">
        <f t="shared" si="12"/>
        <v>1</v>
      </c>
      <c r="AG11" s="23">
        <f t="shared" si="13"/>
        <v>1</v>
      </c>
      <c r="AH11" s="23">
        <f t="shared" si="14"/>
        <v>1</v>
      </c>
      <c r="AI11" s="23">
        <f t="shared" si="15"/>
        <v>1</v>
      </c>
      <c r="AJ11" s="23">
        <f t="shared" si="16"/>
        <v>1</v>
      </c>
      <c r="AK11" s="23">
        <f t="shared" si="17"/>
        <v>1</v>
      </c>
      <c r="AL11" s="23">
        <f t="shared" si="18"/>
        <v>1</v>
      </c>
    </row>
    <row r="12" spans="1:38" ht="24">
      <c r="A12" s="19" t="s">
        <v>80</v>
      </c>
      <c r="B12" s="46">
        <v>502</v>
      </c>
      <c r="C12" s="50">
        <v>28</v>
      </c>
      <c r="D12" s="50">
        <v>43</v>
      </c>
      <c r="E12" s="50">
        <v>14</v>
      </c>
      <c r="F12" s="50">
        <v>20</v>
      </c>
      <c r="G12" s="50">
        <v>95</v>
      </c>
      <c r="H12" s="50">
        <v>52</v>
      </c>
      <c r="I12" s="50">
        <v>1207</v>
      </c>
      <c r="J12" s="50">
        <v>53</v>
      </c>
      <c r="K12" s="50">
        <v>16</v>
      </c>
      <c r="L12" s="50">
        <v>436</v>
      </c>
      <c r="M12" s="50">
        <v>4</v>
      </c>
      <c r="N12" s="50">
        <v>1</v>
      </c>
      <c r="O12" s="50">
        <v>8</v>
      </c>
      <c r="P12" s="50">
        <v>1</v>
      </c>
      <c r="Q12" s="50">
        <v>1</v>
      </c>
      <c r="R12" s="50">
        <v>18</v>
      </c>
      <c r="S12" s="50">
        <v>2</v>
      </c>
      <c r="T12" s="50">
        <v>1</v>
      </c>
      <c r="U12" s="23">
        <f t="shared" si="1"/>
        <v>7</v>
      </c>
      <c r="V12" s="23">
        <f t="shared" si="2"/>
        <v>10</v>
      </c>
      <c r="W12" s="23">
        <f t="shared" si="3"/>
        <v>3</v>
      </c>
      <c r="X12" s="23">
        <f t="shared" si="4"/>
        <v>5</v>
      </c>
      <c r="Y12" s="23">
        <f t="shared" si="5"/>
        <v>23</v>
      </c>
      <c r="Z12" s="23">
        <f t="shared" si="6"/>
        <v>13</v>
      </c>
      <c r="AA12" s="23">
        <f t="shared" si="7"/>
        <v>301</v>
      </c>
      <c r="AB12" s="23">
        <f t="shared" si="8"/>
        <v>13</v>
      </c>
      <c r="AC12" s="23">
        <f t="shared" si="9"/>
        <v>4</v>
      </c>
      <c r="AD12" s="23">
        <f t="shared" si="10"/>
        <v>109</v>
      </c>
      <c r="AE12" s="23">
        <f t="shared" si="11"/>
        <v>1</v>
      </c>
      <c r="AF12" s="23">
        <f t="shared" si="12"/>
        <v>1</v>
      </c>
      <c r="AG12" s="23">
        <f t="shared" si="13"/>
        <v>2</v>
      </c>
      <c r="AH12" s="23">
        <f t="shared" si="14"/>
        <v>1</v>
      </c>
      <c r="AI12" s="23">
        <f t="shared" si="15"/>
        <v>1</v>
      </c>
      <c r="AJ12" s="23">
        <f t="shared" si="16"/>
        <v>4</v>
      </c>
      <c r="AK12" s="23">
        <f t="shared" si="17"/>
        <v>2</v>
      </c>
      <c r="AL12" s="23">
        <f t="shared" si="18"/>
        <v>1</v>
      </c>
    </row>
    <row r="13" spans="1:38" ht="27" customHeight="1">
      <c r="A13" s="19" t="s">
        <v>81</v>
      </c>
      <c r="B13" s="46">
        <v>503</v>
      </c>
      <c r="C13" s="50">
        <v>3</v>
      </c>
      <c r="D13" s="50">
        <v>41</v>
      </c>
      <c r="E13" s="50">
        <v>7</v>
      </c>
      <c r="F13" s="50">
        <v>5</v>
      </c>
      <c r="G13" s="50">
        <v>19</v>
      </c>
      <c r="H13" s="50">
        <v>29</v>
      </c>
      <c r="I13" s="50">
        <v>887</v>
      </c>
      <c r="J13" s="50">
        <v>61</v>
      </c>
      <c r="K13" s="50">
        <v>17</v>
      </c>
      <c r="L13" s="50">
        <v>422</v>
      </c>
      <c r="M13" s="50">
        <v>1</v>
      </c>
      <c r="N13" s="50">
        <v>1</v>
      </c>
      <c r="O13" s="50">
        <v>1</v>
      </c>
      <c r="P13" s="50">
        <v>1</v>
      </c>
      <c r="Q13" s="50">
        <v>1</v>
      </c>
      <c r="R13" s="50">
        <v>1</v>
      </c>
      <c r="S13" s="50">
        <v>2</v>
      </c>
      <c r="T13" s="50">
        <v>1</v>
      </c>
      <c r="U13" s="23">
        <f t="shared" si="1"/>
        <v>3</v>
      </c>
      <c r="V13" s="23">
        <f t="shared" si="2"/>
        <v>10</v>
      </c>
      <c r="W13" s="23">
        <f t="shared" si="3"/>
        <v>1</v>
      </c>
      <c r="X13" s="23">
        <f t="shared" si="4"/>
        <v>1</v>
      </c>
      <c r="Y13" s="23">
        <f t="shared" si="5"/>
        <v>4</v>
      </c>
      <c r="Z13" s="23">
        <f t="shared" si="6"/>
        <v>7</v>
      </c>
      <c r="AA13" s="23">
        <f t="shared" si="7"/>
        <v>221</v>
      </c>
      <c r="AB13" s="23">
        <f t="shared" si="8"/>
        <v>15</v>
      </c>
      <c r="AC13" s="23">
        <f t="shared" si="9"/>
        <v>4</v>
      </c>
      <c r="AD13" s="23">
        <f t="shared" si="10"/>
        <v>105</v>
      </c>
      <c r="AE13" s="23">
        <f t="shared" si="11"/>
        <v>1</v>
      </c>
      <c r="AF13" s="23">
        <f t="shared" si="12"/>
        <v>1</v>
      </c>
      <c r="AG13" s="23">
        <f t="shared" si="13"/>
        <v>1</v>
      </c>
      <c r="AH13" s="23">
        <f t="shared" si="14"/>
        <v>1</v>
      </c>
      <c r="AI13" s="23">
        <f t="shared" si="15"/>
        <v>1</v>
      </c>
      <c r="AJ13" s="23">
        <f t="shared" si="16"/>
        <v>1</v>
      </c>
      <c r="AK13" s="23">
        <f t="shared" si="17"/>
        <v>2</v>
      </c>
      <c r="AL13" s="23">
        <f t="shared" si="18"/>
        <v>1</v>
      </c>
    </row>
    <row r="14" spans="1:38" ht="26.25" customHeight="1">
      <c r="A14" s="19" t="s">
        <v>82</v>
      </c>
      <c r="B14" s="46">
        <v>615</v>
      </c>
      <c r="C14" s="50">
        <v>4</v>
      </c>
      <c r="D14" s="50">
        <v>11</v>
      </c>
      <c r="E14" s="50">
        <v>15</v>
      </c>
      <c r="F14" s="50">
        <v>5</v>
      </c>
      <c r="G14" s="50">
        <v>32</v>
      </c>
      <c r="H14" s="50">
        <v>387</v>
      </c>
      <c r="I14" s="50">
        <v>577</v>
      </c>
      <c r="J14" s="50">
        <v>92</v>
      </c>
      <c r="K14" s="50">
        <v>30</v>
      </c>
      <c r="L14" s="50">
        <v>338</v>
      </c>
      <c r="M14" s="50">
        <v>1</v>
      </c>
      <c r="N14" s="50">
        <v>1</v>
      </c>
      <c r="O14" s="50">
        <v>1</v>
      </c>
      <c r="P14" s="50">
        <v>1</v>
      </c>
      <c r="Q14" s="50">
        <v>1</v>
      </c>
      <c r="R14" s="50">
        <v>1</v>
      </c>
      <c r="S14" s="50">
        <v>2</v>
      </c>
      <c r="T14" s="50">
        <v>1</v>
      </c>
      <c r="U14" s="23">
        <f t="shared" si="1"/>
        <v>1</v>
      </c>
      <c r="V14" s="23">
        <f t="shared" si="2"/>
        <v>2</v>
      </c>
      <c r="W14" s="23">
        <f t="shared" si="3"/>
        <v>3</v>
      </c>
      <c r="X14" s="23">
        <f t="shared" si="4"/>
        <v>1</v>
      </c>
      <c r="Y14" s="23">
        <f t="shared" si="5"/>
        <v>8</v>
      </c>
      <c r="Z14" s="23">
        <f t="shared" si="6"/>
        <v>96</v>
      </c>
      <c r="AA14" s="23">
        <f t="shared" si="7"/>
        <v>144</v>
      </c>
      <c r="AB14" s="23">
        <f t="shared" si="8"/>
        <v>23</v>
      </c>
      <c r="AC14" s="23">
        <f t="shared" si="9"/>
        <v>7</v>
      </c>
      <c r="AD14" s="23">
        <f t="shared" si="10"/>
        <v>84</v>
      </c>
      <c r="AE14" s="23">
        <f t="shared" si="11"/>
        <v>1</v>
      </c>
      <c r="AF14" s="23">
        <f t="shared" si="12"/>
        <v>1</v>
      </c>
      <c r="AG14" s="23">
        <f t="shared" si="13"/>
        <v>1</v>
      </c>
      <c r="AH14" s="23">
        <f t="shared" si="14"/>
        <v>1</v>
      </c>
      <c r="AI14" s="23">
        <f t="shared" si="15"/>
        <v>1</v>
      </c>
      <c r="AJ14" s="23">
        <f t="shared" si="16"/>
        <v>1</v>
      </c>
      <c r="AK14" s="23">
        <f t="shared" si="17"/>
        <v>2</v>
      </c>
      <c r="AL14" s="23">
        <f t="shared" si="18"/>
        <v>1</v>
      </c>
    </row>
    <row r="15" spans="1:38" ht="24">
      <c r="A15" s="19" t="s">
        <v>83</v>
      </c>
      <c r="B15" s="46">
        <v>525</v>
      </c>
      <c r="C15" s="50">
        <v>1</v>
      </c>
      <c r="D15" s="50">
        <v>28</v>
      </c>
      <c r="E15" s="50">
        <v>3</v>
      </c>
      <c r="F15" s="50">
        <v>1</v>
      </c>
      <c r="G15" s="50">
        <v>12</v>
      </c>
      <c r="H15" s="50">
        <v>13</v>
      </c>
      <c r="I15" s="50">
        <v>776</v>
      </c>
      <c r="J15" s="50">
        <v>36</v>
      </c>
      <c r="K15" s="50">
        <v>1</v>
      </c>
      <c r="L15" s="50">
        <v>121</v>
      </c>
      <c r="M15" s="50">
        <v>1</v>
      </c>
      <c r="N15" s="50">
        <v>1</v>
      </c>
      <c r="O15" s="50">
        <v>1</v>
      </c>
      <c r="P15" s="50">
        <v>1</v>
      </c>
      <c r="Q15" s="50">
        <v>1</v>
      </c>
      <c r="R15" s="50">
        <v>1</v>
      </c>
      <c r="S15" s="50">
        <v>1</v>
      </c>
      <c r="T15" s="50">
        <v>1</v>
      </c>
      <c r="U15" s="23">
        <f t="shared" si="1"/>
        <v>1</v>
      </c>
      <c r="V15" s="23">
        <f t="shared" si="2"/>
        <v>7</v>
      </c>
      <c r="W15" s="23">
        <f t="shared" si="3"/>
        <v>3</v>
      </c>
      <c r="X15" s="23">
        <f t="shared" si="4"/>
        <v>1</v>
      </c>
      <c r="Y15" s="23">
        <f t="shared" si="5"/>
        <v>3</v>
      </c>
      <c r="Z15" s="23">
        <f t="shared" si="6"/>
        <v>3</v>
      </c>
      <c r="AA15" s="23">
        <f t="shared" si="7"/>
        <v>194</v>
      </c>
      <c r="AB15" s="23">
        <f t="shared" si="8"/>
        <v>9</v>
      </c>
      <c r="AC15" s="23">
        <f t="shared" si="9"/>
        <v>1</v>
      </c>
      <c r="AD15" s="23">
        <f t="shared" si="10"/>
        <v>30</v>
      </c>
      <c r="AE15" s="23">
        <f t="shared" si="11"/>
        <v>1</v>
      </c>
      <c r="AF15" s="23">
        <f t="shared" si="12"/>
        <v>1</v>
      </c>
      <c r="AG15" s="23">
        <f t="shared" si="13"/>
        <v>1</v>
      </c>
      <c r="AH15" s="23">
        <f t="shared" si="14"/>
        <v>1</v>
      </c>
      <c r="AI15" s="23">
        <f t="shared" si="15"/>
        <v>1</v>
      </c>
      <c r="AJ15" s="23">
        <f t="shared" si="16"/>
        <v>1</v>
      </c>
      <c r="AK15" s="23">
        <f t="shared" si="17"/>
        <v>1</v>
      </c>
      <c r="AL15" s="23">
        <f t="shared" si="18"/>
        <v>1</v>
      </c>
    </row>
    <row r="16" spans="1:38" ht="24">
      <c r="A16" s="19" t="s">
        <v>84</v>
      </c>
      <c r="B16" s="46">
        <v>527</v>
      </c>
      <c r="C16" s="50">
        <v>2</v>
      </c>
      <c r="D16" s="50">
        <v>2</v>
      </c>
      <c r="E16" s="50">
        <v>1</v>
      </c>
      <c r="F16" s="50">
        <v>1</v>
      </c>
      <c r="G16" s="50">
        <v>29</v>
      </c>
      <c r="H16" s="50">
        <v>1</v>
      </c>
      <c r="I16" s="50">
        <v>138</v>
      </c>
      <c r="J16" s="50">
        <v>102</v>
      </c>
      <c r="K16" s="50">
        <v>363</v>
      </c>
      <c r="L16" s="50">
        <v>353</v>
      </c>
      <c r="M16" s="50">
        <v>1</v>
      </c>
      <c r="N16" s="50">
        <v>1</v>
      </c>
      <c r="O16" s="50">
        <v>1</v>
      </c>
      <c r="P16" s="50">
        <v>1</v>
      </c>
      <c r="Q16" s="50">
        <v>1</v>
      </c>
      <c r="R16" s="50">
        <v>1</v>
      </c>
      <c r="S16" s="50">
        <v>1</v>
      </c>
      <c r="T16" s="50">
        <v>1</v>
      </c>
      <c r="U16" s="23">
        <f t="shared" si="1"/>
        <v>2</v>
      </c>
      <c r="V16" s="23">
        <f t="shared" si="2"/>
        <v>2</v>
      </c>
      <c r="W16" s="23">
        <f t="shared" si="3"/>
        <v>1</v>
      </c>
      <c r="X16" s="23">
        <f t="shared" si="4"/>
        <v>1</v>
      </c>
      <c r="Y16" s="23">
        <f t="shared" si="5"/>
        <v>7</v>
      </c>
      <c r="Z16" s="23">
        <f t="shared" si="6"/>
        <v>1</v>
      </c>
      <c r="AA16" s="23">
        <f t="shared" si="7"/>
        <v>34</v>
      </c>
      <c r="AB16" s="23">
        <f t="shared" si="8"/>
        <v>25</v>
      </c>
      <c r="AC16" s="23">
        <f t="shared" si="9"/>
        <v>90</v>
      </c>
      <c r="AD16" s="23">
        <f t="shared" si="10"/>
        <v>88</v>
      </c>
      <c r="AE16" s="23">
        <f t="shared" si="11"/>
        <v>1</v>
      </c>
      <c r="AF16" s="23">
        <f t="shared" si="12"/>
        <v>1</v>
      </c>
      <c r="AG16" s="23">
        <f t="shared" si="13"/>
        <v>1</v>
      </c>
      <c r="AH16" s="23">
        <f t="shared" si="14"/>
        <v>1</v>
      </c>
      <c r="AI16" s="23">
        <f t="shared" si="15"/>
        <v>1</v>
      </c>
      <c r="AJ16" s="23">
        <f t="shared" si="16"/>
        <v>1</v>
      </c>
      <c r="AK16" s="23">
        <f t="shared" si="17"/>
        <v>1</v>
      </c>
      <c r="AL16" s="23">
        <f t="shared" si="18"/>
        <v>1</v>
      </c>
    </row>
    <row r="17" spans="1:38" ht="24" customHeight="1">
      <c r="A17" s="19" t="s">
        <v>85</v>
      </c>
      <c r="B17" s="46">
        <v>529</v>
      </c>
      <c r="C17" s="50">
        <v>3</v>
      </c>
      <c r="D17" s="50">
        <v>25</v>
      </c>
      <c r="E17" s="50">
        <v>5</v>
      </c>
      <c r="F17" s="50">
        <v>4</v>
      </c>
      <c r="G17" s="50">
        <v>23</v>
      </c>
      <c r="H17" s="50">
        <v>77</v>
      </c>
      <c r="I17" s="50">
        <v>529</v>
      </c>
      <c r="J17" s="50">
        <v>139</v>
      </c>
      <c r="K17" s="50">
        <v>17</v>
      </c>
      <c r="L17" s="50">
        <v>152</v>
      </c>
      <c r="M17" s="50">
        <v>13</v>
      </c>
      <c r="N17" s="50">
        <v>2</v>
      </c>
      <c r="O17" s="50">
        <v>2</v>
      </c>
      <c r="P17" s="50">
        <v>2</v>
      </c>
      <c r="Q17" s="50">
        <v>2</v>
      </c>
      <c r="R17" s="50">
        <v>3</v>
      </c>
      <c r="S17" s="50">
        <v>1</v>
      </c>
      <c r="T17" s="50">
        <v>1</v>
      </c>
      <c r="U17" s="23">
        <f t="shared" si="1"/>
        <v>3</v>
      </c>
      <c r="V17" s="23">
        <f t="shared" si="2"/>
        <v>6</v>
      </c>
      <c r="W17" s="23">
        <f t="shared" si="3"/>
        <v>1</v>
      </c>
      <c r="X17" s="23">
        <f t="shared" si="4"/>
        <v>1</v>
      </c>
      <c r="Y17" s="23">
        <f t="shared" si="5"/>
        <v>5</v>
      </c>
      <c r="Z17" s="23">
        <f t="shared" si="6"/>
        <v>19</v>
      </c>
      <c r="AA17" s="23">
        <f t="shared" si="7"/>
        <v>132</v>
      </c>
      <c r="AB17" s="23">
        <f t="shared" si="8"/>
        <v>34</v>
      </c>
      <c r="AC17" s="23">
        <f t="shared" si="9"/>
        <v>4</v>
      </c>
      <c r="AD17" s="23">
        <f t="shared" si="10"/>
        <v>38</v>
      </c>
      <c r="AE17" s="23">
        <f t="shared" si="11"/>
        <v>3</v>
      </c>
      <c r="AF17" s="23">
        <f t="shared" si="12"/>
        <v>2</v>
      </c>
      <c r="AG17" s="23">
        <f t="shared" si="13"/>
        <v>2</v>
      </c>
      <c r="AH17" s="23">
        <f t="shared" si="14"/>
        <v>2</v>
      </c>
      <c r="AI17" s="23">
        <f t="shared" si="15"/>
        <v>2</v>
      </c>
      <c r="AJ17" s="23">
        <f t="shared" si="16"/>
        <v>3</v>
      </c>
      <c r="AK17" s="23">
        <f t="shared" si="17"/>
        <v>1</v>
      </c>
      <c r="AL17" s="23">
        <f t="shared" si="18"/>
        <v>1</v>
      </c>
    </row>
    <row r="18" spans="1:38" ht="24">
      <c r="A18" s="19" t="s">
        <v>86</v>
      </c>
      <c r="B18" s="46">
        <v>532</v>
      </c>
      <c r="C18" s="50">
        <v>5</v>
      </c>
      <c r="D18" s="50">
        <v>19</v>
      </c>
      <c r="E18" s="50">
        <v>5</v>
      </c>
      <c r="F18" s="50">
        <v>3</v>
      </c>
      <c r="G18" s="50">
        <v>18</v>
      </c>
      <c r="H18" s="50">
        <v>39</v>
      </c>
      <c r="I18" s="50">
        <v>489</v>
      </c>
      <c r="J18" s="50">
        <v>20</v>
      </c>
      <c r="K18" s="50">
        <v>101</v>
      </c>
      <c r="L18" s="50">
        <v>287</v>
      </c>
      <c r="M18" s="50">
        <v>1</v>
      </c>
      <c r="N18" s="50">
        <v>3</v>
      </c>
      <c r="O18" s="50">
        <v>2</v>
      </c>
      <c r="P18" s="50">
        <v>1</v>
      </c>
      <c r="Q18" s="50">
        <v>3</v>
      </c>
      <c r="R18" s="50">
        <v>2</v>
      </c>
      <c r="S18" s="50">
        <v>1</v>
      </c>
      <c r="T18" s="50">
        <v>1</v>
      </c>
      <c r="U18" s="23">
        <f t="shared" si="1"/>
        <v>1</v>
      </c>
      <c r="V18" s="23">
        <f t="shared" si="2"/>
        <v>4</v>
      </c>
      <c r="W18" s="23">
        <f t="shared" si="3"/>
        <v>1</v>
      </c>
      <c r="X18" s="23">
        <f t="shared" si="4"/>
        <v>3</v>
      </c>
      <c r="Y18" s="23">
        <f t="shared" si="5"/>
        <v>4</v>
      </c>
      <c r="Z18" s="23">
        <f t="shared" si="6"/>
        <v>9</v>
      </c>
      <c r="AA18" s="23">
        <f t="shared" si="7"/>
        <v>122</v>
      </c>
      <c r="AB18" s="23">
        <f t="shared" si="8"/>
        <v>5</v>
      </c>
      <c r="AC18" s="23">
        <f t="shared" si="9"/>
        <v>25</v>
      </c>
      <c r="AD18" s="23">
        <f t="shared" si="10"/>
        <v>71</v>
      </c>
      <c r="AE18" s="23">
        <f t="shared" si="11"/>
        <v>1</v>
      </c>
      <c r="AF18" s="23">
        <f t="shared" si="12"/>
        <v>3</v>
      </c>
      <c r="AG18" s="23">
        <f t="shared" si="13"/>
        <v>2</v>
      </c>
      <c r="AH18" s="23">
        <f t="shared" si="14"/>
        <v>1</v>
      </c>
      <c r="AI18" s="23">
        <f t="shared" si="15"/>
        <v>3</v>
      </c>
      <c r="AJ18" s="23">
        <f t="shared" si="16"/>
        <v>2</v>
      </c>
      <c r="AK18" s="23">
        <f t="shared" si="17"/>
        <v>1</v>
      </c>
      <c r="AL18" s="23">
        <f t="shared" si="18"/>
        <v>1</v>
      </c>
    </row>
    <row r="19" spans="1:38" ht="23.25" customHeight="1">
      <c r="A19" s="19" t="s">
        <v>87</v>
      </c>
      <c r="B19" s="46">
        <v>504</v>
      </c>
      <c r="C19" s="50">
        <v>4</v>
      </c>
      <c r="D19" s="50">
        <v>24</v>
      </c>
      <c r="E19" s="50">
        <v>7</v>
      </c>
      <c r="F19" s="50">
        <v>10</v>
      </c>
      <c r="G19" s="50">
        <v>27</v>
      </c>
      <c r="H19" s="50">
        <v>62</v>
      </c>
      <c r="I19" s="50">
        <v>694</v>
      </c>
      <c r="J19" s="50">
        <v>66</v>
      </c>
      <c r="K19" s="50">
        <v>145</v>
      </c>
      <c r="L19" s="50">
        <v>447</v>
      </c>
      <c r="M19" s="50">
        <v>3</v>
      </c>
      <c r="N19" s="50">
        <v>3</v>
      </c>
      <c r="O19" s="50">
        <v>3</v>
      </c>
      <c r="P19" s="50">
        <v>1</v>
      </c>
      <c r="Q19" s="50">
        <v>1</v>
      </c>
      <c r="R19" s="50">
        <v>1</v>
      </c>
      <c r="S19" s="50">
        <v>1</v>
      </c>
      <c r="T19" s="50">
        <v>1</v>
      </c>
      <c r="U19" s="23">
        <f t="shared" si="1"/>
        <v>1</v>
      </c>
      <c r="V19" s="23">
        <f t="shared" si="2"/>
        <v>6</v>
      </c>
      <c r="W19" s="23">
        <f t="shared" si="3"/>
        <v>1</v>
      </c>
      <c r="X19" s="23">
        <f t="shared" si="4"/>
        <v>2</v>
      </c>
      <c r="Y19" s="23">
        <f t="shared" si="5"/>
        <v>6</v>
      </c>
      <c r="Z19" s="23">
        <f t="shared" si="6"/>
        <v>15</v>
      </c>
      <c r="AA19" s="23">
        <f t="shared" si="7"/>
        <v>173</v>
      </c>
      <c r="AB19" s="23">
        <f t="shared" si="8"/>
        <v>16</v>
      </c>
      <c r="AC19" s="23">
        <f t="shared" si="9"/>
        <v>36</v>
      </c>
      <c r="AD19" s="23">
        <f t="shared" si="10"/>
        <v>111</v>
      </c>
      <c r="AE19" s="23">
        <f t="shared" si="11"/>
        <v>3</v>
      </c>
      <c r="AF19" s="23">
        <f t="shared" si="12"/>
        <v>3</v>
      </c>
      <c r="AG19" s="23">
        <f t="shared" si="13"/>
        <v>3</v>
      </c>
      <c r="AH19" s="23">
        <f t="shared" si="14"/>
        <v>1</v>
      </c>
      <c r="AI19" s="23">
        <f t="shared" si="15"/>
        <v>1</v>
      </c>
      <c r="AJ19" s="23">
        <f t="shared" si="16"/>
        <v>1</v>
      </c>
      <c r="AK19" s="23">
        <f t="shared" si="17"/>
        <v>1</v>
      </c>
      <c r="AL19" s="23">
        <f t="shared" si="18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Polezhaev</dc:creator>
  <cp:keywords/>
  <dc:description/>
  <cp:lastModifiedBy>User</cp:lastModifiedBy>
  <cp:lastPrinted>2018-04-19T05:00:21Z</cp:lastPrinted>
  <dcterms:created xsi:type="dcterms:W3CDTF">2012-03-19T03:15:48Z</dcterms:created>
  <dcterms:modified xsi:type="dcterms:W3CDTF">2019-01-28T08:38:55Z</dcterms:modified>
  <cp:category/>
  <cp:version/>
  <cp:contentType/>
  <cp:contentStatus/>
</cp:coreProperties>
</file>